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autoCompressPictures="0"/>
  <workbookProtection workbookPassword="F283" lockStructure="1" lockWindows="1"/>
  <bookViews>
    <workbookView xWindow="-20" yWindow="0" windowWidth="48280" windowHeight="28260"/>
  </bookViews>
  <sheets>
    <sheet name="Input Values" sheetId="4" r:id="rId1"/>
    <sheet name="Analysis" sheetId="6" r:id="rId2"/>
    <sheet name="Automated Dosing" sheetId="7" r:id="rId3"/>
    <sheet name="Manual Dosing" sheetId="5" r:id="rId4"/>
    <sheet name="Admin" sheetId="2"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85" i="6" l="1"/>
  <c r="J83" i="6"/>
  <c r="J77" i="6"/>
  <c r="J75" i="6"/>
  <c r="J73" i="6"/>
  <c r="J69" i="6"/>
  <c r="J65" i="6"/>
  <c r="J61" i="6"/>
  <c r="J59" i="6"/>
  <c r="J57" i="6"/>
  <c r="J53" i="6"/>
  <c r="J49" i="6"/>
  <c r="J45" i="6"/>
  <c r="J43" i="6"/>
  <c r="J41" i="6"/>
  <c r="J37" i="6"/>
  <c r="J35" i="6"/>
  <c r="J29" i="6"/>
  <c r="J27" i="6"/>
  <c r="J21" i="6"/>
  <c r="J19" i="6"/>
  <c r="C10" i="2"/>
  <c r="C12" i="2"/>
  <c r="C14" i="2"/>
  <c r="C16" i="2"/>
  <c r="C18" i="2"/>
  <c r="C20" i="2"/>
  <c r="C22" i="2"/>
  <c r="C24" i="2"/>
  <c r="C26" i="2"/>
  <c r="C28" i="2"/>
  <c r="C30" i="2"/>
  <c r="C32" i="2"/>
  <c r="C34" i="2"/>
  <c r="C36" i="2"/>
  <c r="C38" i="2"/>
  <c r="C40" i="2"/>
  <c r="C42" i="2"/>
  <c r="C44" i="2"/>
  <c r="C46" i="2"/>
  <c r="C48" i="2"/>
  <c r="C50" i="2"/>
  <c r="C52" i="2"/>
  <c r="C54" i="2"/>
  <c r="C56" i="2"/>
  <c r="C58" i="2"/>
  <c r="C60" i="2"/>
  <c r="C62" i="2"/>
  <c r="C64" i="2"/>
  <c r="C66" i="2"/>
  <c r="C68" i="2"/>
  <c r="C70" i="2"/>
  <c r="C72" i="2"/>
  <c r="C74" i="2"/>
  <c r="C76" i="2"/>
  <c r="C78" i="2"/>
  <c r="C80" i="2"/>
  <c r="C82" i="2"/>
  <c r="C85" i="2"/>
  <c r="G9" i="2"/>
  <c r="F85" i="2"/>
  <c r="G10" i="2"/>
  <c r="G12" i="2"/>
  <c r="G14" i="2"/>
  <c r="G16" i="2"/>
  <c r="G18" i="2"/>
  <c r="G20" i="2"/>
  <c r="G22" i="2"/>
  <c r="G24" i="2"/>
  <c r="G26" i="2"/>
  <c r="G28" i="2"/>
  <c r="G30" i="2"/>
  <c r="G32" i="2"/>
  <c r="G34" i="2"/>
  <c r="G36" i="2"/>
  <c r="G38" i="2"/>
  <c r="G40" i="2"/>
  <c r="G42" i="2"/>
  <c r="G44" i="2"/>
  <c r="G46" i="2"/>
  <c r="G48" i="2"/>
  <c r="G50" i="2"/>
  <c r="G52" i="2"/>
  <c r="G54" i="2"/>
  <c r="G56" i="2"/>
  <c r="G58" i="2"/>
  <c r="G60" i="2"/>
  <c r="G62" i="2"/>
  <c r="G64" i="2"/>
  <c r="G66" i="2"/>
  <c r="G68" i="2"/>
  <c r="G70" i="2"/>
  <c r="G72" i="2"/>
  <c r="G74" i="2"/>
  <c r="G76" i="2"/>
  <c r="G78" i="2"/>
  <c r="G80" i="2"/>
  <c r="G82" i="2"/>
  <c r="G85" i="2"/>
  <c r="AA32" i="4"/>
  <c r="E12" i="6"/>
  <c r="C71" i="4"/>
  <c r="H16" i="2"/>
  <c r="B3" i="2"/>
  <c r="K16" i="2"/>
  <c r="N16" i="2"/>
  <c r="L22" i="5"/>
  <c r="M22" i="5"/>
  <c r="J22" i="5"/>
  <c r="I22" i="5"/>
  <c r="H22" i="5"/>
  <c r="AB28" i="7"/>
  <c r="AA28" i="7"/>
  <c r="AC28" i="7"/>
  <c r="L28" i="7"/>
  <c r="M28" i="7"/>
  <c r="E28" i="7"/>
  <c r="AB37" i="4"/>
  <c r="I21" i="6"/>
  <c r="D22" i="5"/>
  <c r="C22" i="5"/>
  <c r="O16" i="2"/>
  <c r="L16" i="2"/>
  <c r="G20" i="5"/>
  <c r="K80" i="2"/>
  <c r="B4" i="2"/>
  <c r="H80" i="2"/>
  <c r="N80" i="2"/>
  <c r="K78" i="2"/>
  <c r="H78" i="2"/>
  <c r="N78" i="2"/>
  <c r="K72" i="2"/>
  <c r="H72" i="2"/>
  <c r="N72" i="2"/>
  <c r="K70" i="2"/>
  <c r="H70" i="2"/>
  <c r="N70" i="2"/>
  <c r="K68" i="2"/>
  <c r="H68" i="2"/>
  <c r="N68" i="2"/>
  <c r="K64" i="2"/>
  <c r="H64" i="2"/>
  <c r="N64" i="2"/>
  <c r="K60" i="2"/>
  <c r="H60" i="2"/>
  <c r="N60" i="2"/>
  <c r="K56" i="2"/>
  <c r="H56" i="2"/>
  <c r="N56" i="2"/>
  <c r="K54" i="2"/>
  <c r="H54" i="2"/>
  <c r="N54" i="2"/>
  <c r="K52" i="2"/>
  <c r="H52" i="2"/>
  <c r="N52" i="2"/>
  <c r="K48" i="2"/>
  <c r="H48" i="2"/>
  <c r="N48" i="2"/>
  <c r="K44" i="2"/>
  <c r="H44" i="2"/>
  <c r="N44" i="2"/>
  <c r="K40" i="2"/>
  <c r="H40" i="2"/>
  <c r="N40" i="2"/>
  <c r="K38" i="2"/>
  <c r="H38" i="2"/>
  <c r="N38" i="2"/>
  <c r="K36" i="2"/>
  <c r="H36" i="2"/>
  <c r="N36" i="2"/>
  <c r="K32" i="2"/>
  <c r="H32" i="2"/>
  <c r="N32" i="2"/>
  <c r="K30" i="2"/>
  <c r="H30" i="2"/>
  <c r="N30" i="2"/>
  <c r="K24" i="2"/>
  <c r="H24" i="2"/>
  <c r="N24" i="2"/>
  <c r="K22" i="2"/>
  <c r="H22" i="2"/>
  <c r="N22" i="2"/>
  <c r="K14" i="2"/>
  <c r="H14" i="2"/>
  <c r="N14" i="2"/>
  <c r="AB69" i="4"/>
  <c r="I85" i="6"/>
  <c r="AB68" i="4"/>
  <c r="I83" i="6"/>
  <c r="AB65" i="4"/>
  <c r="I77" i="6"/>
  <c r="AB64" i="4"/>
  <c r="I75" i="6"/>
  <c r="AB63" i="4"/>
  <c r="I73" i="6"/>
  <c r="AB61" i="4"/>
  <c r="I69" i="6"/>
  <c r="AB59" i="4"/>
  <c r="I65" i="6"/>
  <c r="AB57" i="4"/>
  <c r="I61" i="6"/>
  <c r="AB56" i="4"/>
  <c r="I59" i="6"/>
  <c r="AB55" i="4"/>
  <c r="I57" i="6"/>
  <c r="AB53" i="4"/>
  <c r="I53" i="6"/>
  <c r="AB51" i="4"/>
  <c r="I49" i="6"/>
  <c r="AB49" i="4"/>
  <c r="I45" i="6"/>
  <c r="AB48" i="4"/>
  <c r="I43" i="6"/>
  <c r="AB47" i="4"/>
  <c r="I41" i="6"/>
  <c r="AB45" i="4"/>
  <c r="I37" i="6"/>
  <c r="AB44" i="4"/>
  <c r="I35" i="6"/>
  <c r="AB41" i="4"/>
  <c r="I29" i="6"/>
  <c r="AB40" i="4"/>
  <c r="I27" i="6"/>
  <c r="AB36" i="4"/>
  <c r="I19" i="6"/>
  <c r="E44" i="7"/>
  <c r="E43" i="7"/>
  <c r="E42" i="7"/>
  <c r="E41" i="7"/>
  <c r="E40" i="7"/>
  <c r="E39" i="7"/>
  <c r="E47" i="7"/>
  <c r="E46" i="7"/>
  <c r="E36" i="7"/>
  <c r="E35" i="7"/>
  <c r="E34" i="7"/>
  <c r="E33" i="7"/>
  <c r="E32" i="7"/>
  <c r="E31" i="7"/>
  <c r="E29" i="7"/>
  <c r="AB47" i="7"/>
  <c r="L22" i="7"/>
  <c r="AA47" i="7"/>
  <c r="AC47" i="7"/>
  <c r="L47" i="7"/>
  <c r="AB46" i="7"/>
  <c r="AA46" i="7"/>
  <c r="AC46" i="7"/>
  <c r="L46" i="7"/>
  <c r="AB45" i="7"/>
  <c r="AA45" i="7"/>
  <c r="AC45" i="7"/>
  <c r="L45" i="7"/>
  <c r="AB44" i="7"/>
  <c r="AA44" i="7"/>
  <c r="AC44" i="7"/>
  <c r="L44" i="7"/>
  <c r="AB43" i="7"/>
  <c r="AA43" i="7"/>
  <c r="AC43" i="7"/>
  <c r="L43" i="7"/>
  <c r="AB42" i="7"/>
  <c r="AA42" i="7"/>
  <c r="AC42" i="7"/>
  <c r="L42" i="7"/>
  <c r="AB41" i="7"/>
  <c r="AA41" i="7"/>
  <c r="AC41" i="7"/>
  <c r="L41" i="7"/>
  <c r="AB40" i="7"/>
  <c r="AA40" i="7"/>
  <c r="AC40" i="7"/>
  <c r="L40" i="7"/>
  <c r="AB39" i="7"/>
  <c r="AA39" i="7"/>
  <c r="AC39" i="7"/>
  <c r="L39" i="7"/>
  <c r="AB38" i="7"/>
  <c r="AA38" i="7"/>
  <c r="AC38" i="7"/>
  <c r="L38" i="7"/>
  <c r="AB37" i="7"/>
  <c r="AA37" i="7"/>
  <c r="AC37" i="7"/>
  <c r="L37" i="7"/>
  <c r="AB36" i="7"/>
  <c r="AA36" i="7"/>
  <c r="AC36" i="7"/>
  <c r="L36" i="7"/>
  <c r="AB35" i="7"/>
  <c r="AA35" i="7"/>
  <c r="AC35" i="7"/>
  <c r="L35" i="7"/>
  <c r="AB34" i="7"/>
  <c r="AA34" i="7"/>
  <c r="AC34" i="7"/>
  <c r="L34" i="7"/>
  <c r="AB33" i="7"/>
  <c r="AA33" i="7"/>
  <c r="AC33" i="7"/>
  <c r="L33" i="7"/>
  <c r="AB32" i="7"/>
  <c r="AA32" i="7"/>
  <c r="AC32" i="7"/>
  <c r="L32" i="7"/>
  <c r="AB31" i="7"/>
  <c r="AA31" i="7"/>
  <c r="AC31" i="7"/>
  <c r="L31" i="7"/>
  <c r="AB30" i="7"/>
  <c r="AA30" i="7"/>
  <c r="AC30" i="7"/>
  <c r="L30" i="7"/>
  <c r="AB29" i="7"/>
  <c r="AA29" i="7"/>
  <c r="AC29" i="7"/>
  <c r="L29" i="7"/>
  <c r="AB27" i="7"/>
  <c r="E27" i="7"/>
  <c r="AA27" i="7"/>
  <c r="AC27" i="7"/>
  <c r="L27" i="7"/>
  <c r="L80" i="2"/>
  <c r="L78" i="2"/>
  <c r="L72" i="2"/>
  <c r="L70" i="2"/>
  <c r="L68" i="2"/>
  <c r="L64" i="2"/>
  <c r="L60" i="2"/>
  <c r="L56" i="2"/>
  <c r="L54" i="2"/>
  <c r="L52" i="2"/>
  <c r="L48" i="2"/>
  <c r="L44" i="2"/>
  <c r="L40" i="2"/>
  <c r="L38" i="2"/>
  <c r="L36" i="2"/>
  <c r="L32" i="2"/>
  <c r="L30" i="2"/>
  <c r="L24" i="2"/>
  <c r="L22" i="2"/>
  <c r="O80" i="2"/>
  <c r="O78" i="2"/>
  <c r="O72" i="2"/>
  <c r="O70" i="2"/>
  <c r="O68" i="2"/>
  <c r="O64" i="2"/>
  <c r="O60" i="2"/>
  <c r="O56" i="2"/>
  <c r="O54" i="2"/>
  <c r="O52" i="2"/>
  <c r="O48" i="2"/>
  <c r="O44" i="2"/>
  <c r="O40" i="2"/>
  <c r="O38" i="2"/>
  <c r="O36" i="2"/>
  <c r="O32" i="2"/>
  <c r="O30" i="2"/>
  <c r="O24" i="2"/>
  <c r="O22" i="2"/>
  <c r="O14" i="2"/>
  <c r="L14" i="2"/>
  <c r="F45" i="7"/>
  <c r="F38" i="7"/>
  <c r="F37" i="7"/>
  <c r="F30" i="7"/>
  <c r="L20" i="5"/>
  <c r="M20" i="5"/>
  <c r="J20" i="5"/>
  <c r="G60" i="5"/>
  <c r="G58" i="5"/>
  <c r="H56" i="5"/>
  <c r="G54" i="5"/>
  <c r="G52" i="5"/>
  <c r="G50" i="5"/>
  <c r="H48" i="5"/>
  <c r="G46" i="5"/>
  <c r="G44" i="5"/>
  <c r="G42" i="5"/>
  <c r="H40" i="5"/>
  <c r="G38" i="5"/>
  <c r="G36" i="5"/>
  <c r="G34" i="5"/>
  <c r="G32" i="5"/>
  <c r="G30" i="5"/>
  <c r="G28" i="5"/>
  <c r="H26" i="5"/>
  <c r="H24" i="5"/>
  <c r="D60" i="5"/>
  <c r="C85" i="5"/>
  <c r="C88" i="7"/>
  <c r="C60" i="5"/>
  <c r="B85" i="5"/>
  <c r="B88" i="7"/>
  <c r="D58" i="5"/>
  <c r="C84" i="5"/>
  <c r="C87" i="7"/>
  <c r="C58" i="5"/>
  <c r="B84" i="5"/>
  <c r="B87" i="7"/>
  <c r="D52" i="5"/>
  <c r="C83" i="5"/>
  <c r="C86" i="7"/>
  <c r="C52" i="5"/>
  <c r="B83" i="5"/>
  <c r="B86" i="7"/>
  <c r="D46" i="5"/>
  <c r="C82" i="5"/>
  <c r="C85" i="7"/>
  <c r="C46" i="5"/>
  <c r="B82" i="5"/>
  <c r="B85" i="7"/>
  <c r="D44" i="5"/>
  <c r="C81" i="5"/>
  <c r="C84" i="7"/>
  <c r="C44" i="5"/>
  <c r="B81" i="5"/>
  <c r="B84" i="7"/>
  <c r="D42" i="5"/>
  <c r="C80" i="5"/>
  <c r="C83" i="7"/>
  <c r="C42" i="5"/>
  <c r="B80" i="5"/>
  <c r="B83" i="7"/>
  <c r="D38" i="5"/>
  <c r="C79" i="5"/>
  <c r="C82" i="7"/>
  <c r="C38" i="5"/>
  <c r="B79" i="5"/>
  <c r="B82" i="7"/>
  <c r="D32" i="5"/>
  <c r="C78" i="5"/>
  <c r="C81" i="7"/>
  <c r="C32" i="5"/>
  <c r="B78" i="5"/>
  <c r="B81" i="7"/>
  <c r="D30" i="5"/>
  <c r="C77" i="5"/>
  <c r="C80" i="7"/>
  <c r="C30" i="5"/>
  <c r="B77" i="5"/>
  <c r="B80" i="7"/>
  <c r="D56" i="5"/>
  <c r="D54" i="5"/>
  <c r="D50" i="5"/>
  <c r="D48" i="5"/>
  <c r="D40" i="5"/>
  <c r="D36" i="5"/>
  <c r="D34" i="5"/>
  <c r="D20" i="5"/>
  <c r="D24" i="5"/>
  <c r="D26" i="5"/>
  <c r="D28" i="5"/>
  <c r="L60" i="5"/>
  <c r="M60" i="5"/>
  <c r="J60" i="5"/>
  <c r="I60" i="5"/>
  <c r="L58" i="5"/>
  <c r="M58" i="5"/>
  <c r="J58" i="5"/>
  <c r="I58" i="5"/>
  <c r="L56" i="5"/>
  <c r="M56" i="5"/>
  <c r="J56" i="5"/>
  <c r="I56" i="5"/>
  <c r="L54" i="5"/>
  <c r="M54" i="5"/>
  <c r="J54" i="5"/>
  <c r="I54" i="5"/>
  <c r="L52" i="5"/>
  <c r="M52" i="5"/>
  <c r="J52" i="5"/>
  <c r="I52" i="5"/>
  <c r="L50" i="5"/>
  <c r="M50" i="5"/>
  <c r="J50" i="5"/>
  <c r="I50" i="5"/>
  <c r="L48" i="5"/>
  <c r="M48" i="5"/>
  <c r="J48" i="5"/>
  <c r="I48" i="5"/>
  <c r="L46" i="5"/>
  <c r="M46" i="5"/>
  <c r="J46" i="5"/>
  <c r="I46" i="5"/>
  <c r="L44" i="5"/>
  <c r="M44" i="5"/>
  <c r="J44" i="5"/>
  <c r="I44" i="5"/>
  <c r="L42" i="5"/>
  <c r="M42" i="5"/>
  <c r="J42" i="5"/>
  <c r="I42" i="5"/>
  <c r="L40" i="5"/>
  <c r="M40" i="5"/>
  <c r="J40" i="5"/>
  <c r="I40" i="5"/>
  <c r="L38" i="5"/>
  <c r="M38" i="5"/>
  <c r="J38" i="5"/>
  <c r="I38" i="5"/>
  <c r="L36" i="5"/>
  <c r="M36" i="5"/>
  <c r="J36" i="5"/>
  <c r="I36" i="5"/>
  <c r="L34" i="5"/>
  <c r="M34" i="5"/>
  <c r="J34" i="5"/>
  <c r="I34" i="5"/>
  <c r="L32" i="5"/>
  <c r="M32" i="5"/>
  <c r="J32" i="5"/>
  <c r="I32" i="5"/>
  <c r="L30" i="5"/>
  <c r="M30" i="5"/>
  <c r="J30" i="5"/>
  <c r="I30" i="5"/>
  <c r="L28" i="5"/>
  <c r="M28" i="5"/>
  <c r="J28" i="5"/>
  <c r="I28" i="5"/>
  <c r="L26" i="5"/>
  <c r="M26" i="5"/>
  <c r="J26" i="5"/>
  <c r="I26" i="5"/>
  <c r="L24" i="5"/>
  <c r="M24" i="5"/>
  <c r="J24" i="5"/>
  <c r="I24" i="5"/>
  <c r="I20" i="5"/>
  <c r="C20" i="5"/>
  <c r="L48" i="7"/>
  <c r="L55" i="7"/>
  <c r="L24" i="7"/>
  <c r="M47" i="7"/>
  <c r="M46" i="7"/>
  <c r="M45" i="7"/>
  <c r="M44" i="7"/>
  <c r="M43" i="7"/>
  <c r="M42" i="7"/>
  <c r="M41" i="7"/>
  <c r="M40" i="7"/>
  <c r="M39" i="7"/>
  <c r="M38" i="7"/>
  <c r="M37" i="7"/>
  <c r="M36" i="7"/>
  <c r="M35" i="7"/>
  <c r="M34" i="7"/>
  <c r="M33" i="7"/>
  <c r="M32" i="7"/>
  <c r="M31" i="7"/>
  <c r="M30" i="7"/>
  <c r="M29" i="7"/>
  <c r="M27" i="7"/>
  <c r="H85" i="6"/>
  <c r="H83" i="6"/>
  <c r="H76" i="2"/>
  <c r="AB67" i="4"/>
  <c r="H81" i="6"/>
  <c r="H74" i="2"/>
  <c r="AB66" i="4"/>
  <c r="H79" i="6"/>
  <c r="H77" i="6"/>
  <c r="H75" i="6"/>
  <c r="H73" i="6"/>
  <c r="H66" i="2"/>
  <c r="AB62" i="4"/>
  <c r="H71" i="6"/>
  <c r="H69" i="6"/>
  <c r="H62" i="2"/>
  <c r="AB60" i="4"/>
  <c r="H67" i="6"/>
  <c r="H65" i="6"/>
  <c r="H58" i="2"/>
  <c r="AB58" i="4"/>
  <c r="H63" i="6"/>
  <c r="H61" i="6"/>
  <c r="H59" i="6"/>
  <c r="H57" i="6"/>
  <c r="H50" i="2"/>
  <c r="AB54" i="4"/>
  <c r="H55" i="6"/>
  <c r="H53" i="6"/>
  <c r="H46" i="2"/>
  <c r="AB52" i="4"/>
  <c r="H51" i="6"/>
  <c r="H49" i="6"/>
  <c r="H42" i="2"/>
  <c r="AB50" i="4"/>
  <c r="H47" i="6"/>
  <c r="H45" i="6"/>
  <c r="H43" i="6"/>
  <c r="H41" i="6"/>
  <c r="H34" i="2"/>
  <c r="AB46" i="4"/>
  <c r="H39" i="6"/>
  <c r="H37" i="6"/>
  <c r="H35" i="6"/>
  <c r="H28" i="2"/>
  <c r="AB43" i="4"/>
  <c r="H33" i="6"/>
  <c r="H26" i="2"/>
  <c r="AB42" i="4"/>
  <c r="H31" i="6"/>
  <c r="H29" i="6"/>
  <c r="H27" i="6"/>
  <c r="H20" i="2"/>
  <c r="AB39" i="4"/>
  <c r="H25" i="6"/>
  <c r="H18" i="2"/>
  <c r="AB38" i="4"/>
  <c r="H23" i="6"/>
  <c r="H21" i="6"/>
  <c r="H19" i="6"/>
  <c r="H12" i="2"/>
  <c r="AB35" i="4"/>
  <c r="H17" i="6"/>
  <c r="H10" i="2"/>
  <c r="AB34" i="4"/>
  <c r="H15" i="6"/>
  <c r="AA69" i="4"/>
  <c r="G85" i="6"/>
  <c r="AA68" i="4"/>
  <c r="G83" i="6"/>
  <c r="I81" i="6"/>
  <c r="AA67" i="4"/>
  <c r="G81" i="6"/>
  <c r="I79" i="6"/>
  <c r="AA66" i="4"/>
  <c r="G79" i="6"/>
  <c r="AA65" i="4"/>
  <c r="G77" i="6"/>
  <c r="AA64" i="4"/>
  <c r="G75" i="6"/>
  <c r="AA63" i="4"/>
  <c r="G73" i="6"/>
  <c r="I71" i="6"/>
  <c r="AA62" i="4"/>
  <c r="G71" i="6"/>
  <c r="AA61" i="4"/>
  <c r="G69" i="6"/>
  <c r="I67" i="6"/>
  <c r="AA60" i="4"/>
  <c r="G67" i="6"/>
  <c r="AA59" i="4"/>
  <c r="G65" i="6"/>
  <c r="I63" i="6"/>
  <c r="AA58" i="4"/>
  <c r="G63" i="6"/>
  <c r="AA57" i="4"/>
  <c r="G61" i="6"/>
  <c r="AA56" i="4"/>
  <c r="G59" i="6"/>
  <c r="AA55" i="4"/>
  <c r="G57" i="6"/>
  <c r="I55" i="6"/>
  <c r="AA54" i="4"/>
  <c r="G55" i="6"/>
  <c r="AA53" i="4"/>
  <c r="G53" i="6"/>
  <c r="I51" i="6"/>
  <c r="AA52" i="4"/>
  <c r="G51" i="6"/>
  <c r="AA51" i="4"/>
  <c r="G49" i="6"/>
  <c r="I47" i="6"/>
  <c r="AA50" i="4"/>
  <c r="G47" i="6"/>
  <c r="AA49" i="4"/>
  <c r="G45" i="6"/>
  <c r="AA48" i="4"/>
  <c r="G43" i="6"/>
  <c r="AA47" i="4"/>
  <c r="G41" i="6"/>
  <c r="I39" i="6"/>
  <c r="AA46" i="4"/>
  <c r="G39" i="6"/>
  <c r="AA45" i="4"/>
  <c r="G37" i="6"/>
  <c r="AA44" i="4"/>
  <c r="G35" i="6"/>
  <c r="I33" i="6"/>
  <c r="AA43" i="4"/>
  <c r="G33" i="6"/>
  <c r="I31" i="6"/>
  <c r="AA42" i="4"/>
  <c r="G31" i="6"/>
  <c r="AA41" i="4"/>
  <c r="G29" i="6"/>
  <c r="AA40" i="4"/>
  <c r="G27" i="6"/>
  <c r="I25" i="6"/>
  <c r="AA39" i="4"/>
  <c r="G25" i="6"/>
  <c r="I23" i="6"/>
  <c r="AA38" i="4"/>
  <c r="G23" i="6"/>
  <c r="AA37" i="4"/>
  <c r="G21" i="6"/>
  <c r="AA36" i="4"/>
  <c r="G19" i="6"/>
  <c r="I17" i="6"/>
  <c r="AA35" i="4"/>
  <c r="G17" i="6"/>
  <c r="I15" i="6"/>
  <c r="AA34" i="4"/>
  <c r="G15" i="6"/>
  <c r="E85" i="6"/>
  <c r="E83" i="6"/>
  <c r="E81" i="6"/>
  <c r="E79" i="6"/>
  <c r="E77" i="6"/>
  <c r="E75" i="6"/>
  <c r="E73" i="6"/>
  <c r="E71" i="6"/>
  <c r="E69" i="6"/>
  <c r="E67" i="6"/>
  <c r="E65" i="6"/>
  <c r="E63" i="6"/>
  <c r="E61" i="6"/>
  <c r="E59" i="6"/>
  <c r="E57" i="6"/>
  <c r="E55" i="6"/>
  <c r="E53" i="6"/>
  <c r="E51" i="6"/>
  <c r="E49" i="6"/>
  <c r="E47" i="6"/>
  <c r="E45" i="6"/>
  <c r="E43" i="6"/>
  <c r="E41" i="6"/>
  <c r="E39" i="6"/>
  <c r="E37" i="6"/>
  <c r="E35" i="6"/>
  <c r="E33" i="6"/>
  <c r="E31" i="6"/>
  <c r="E29" i="6"/>
  <c r="E27" i="6"/>
  <c r="E25" i="6"/>
  <c r="E23" i="6"/>
  <c r="E21" i="6"/>
  <c r="E19" i="6"/>
  <c r="E17" i="6"/>
  <c r="E15" i="6"/>
  <c r="C85" i="6"/>
  <c r="C83" i="6"/>
  <c r="C81" i="6"/>
  <c r="C79" i="6"/>
  <c r="C77" i="6"/>
  <c r="C75" i="6"/>
  <c r="C73" i="6"/>
  <c r="C71" i="6"/>
  <c r="C69" i="6"/>
  <c r="C67" i="6"/>
  <c r="C65" i="6"/>
  <c r="C63" i="6"/>
  <c r="C61" i="6"/>
  <c r="C59" i="6"/>
  <c r="C57" i="6"/>
  <c r="C55" i="6"/>
  <c r="C53" i="6"/>
  <c r="C51" i="6"/>
  <c r="C49" i="6"/>
  <c r="C47" i="6"/>
  <c r="C45" i="6"/>
  <c r="C43" i="6"/>
  <c r="C41" i="6"/>
  <c r="C39" i="6"/>
  <c r="C37" i="6"/>
  <c r="C35" i="6"/>
  <c r="C33" i="6"/>
  <c r="C31" i="6"/>
  <c r="C29" i="6"/>
  <c r="C27" i="6"/>
  <c r="C25" i="6"/>
  <c r="C23" i="6"/>
  <c r="C21" i="6"/>
  <c r="C19" i="6"/>
  <c r="C17" i="6"/>
  <c r="C15" i="6"/>
  <c r="C17" i="4"/>
  <c r="C50" i="5"/>
  <c r="C56" i="5"/>
  <c r="C54" i="5"/>
  <c r="C48" i="5"/>
  <c r="C40" i="5"/>
  <c r="C36" i="5"/>
  <c r="C34" i="5"/>
  <c r="C28" i="5"/>
  <c r="C26" i="5"/>
  <c r="C24" i="5"/>
  <c r="S30" i="2"/>
  <c r="S36" i="2"/>
  <c r="S44" i="2"/>
  <c r="S40" i="2"/>
  <c r="S54" i="2"/>
  <c r="S56" i="2"/>
  <c r="S60" i="2"/>
  <c r="S68" i="2"/>
  <c r="S78" i="2"/>
  <c r="S80" i="2"/>
  <c r="T80" i="2"/>
  <c r="T78" i="2"/>
  <c r="T68" i="2"/>
  <c r="T60" i="2"/>
  <c r="T56" i="2"/>
  <c r="T54" i="2"/>
  <c r="T40" i="2"/>
  <c r="T44" i="2"/>
  <c r="T36" i="2"/>
  <c r="T30" i="2"/>
  <c r="Q80" i="2"/>
  <c r="P80" i="2"/>
  <c r="Q78" i="2"/>
  <c r="P78" i="2"/>
  <c r="Q68" i="2"/>
  <c r="P68" i="2"/>
  <c r="Q60" i="2"/>
  <c r="P60" i="2"/>
  <c r="Q56" i="2"/>
  <c r="P56" i="2"/>
  <c r="Q54" i="2"/>
  <c r="P54" i="2"/>
  <c r="Q44" i="2"/>
  <c r="P44" i="2"/>
  <c r="Q40" i="2"/>
  <c r="P40" i="2"/>
  <c r="Q36" i="2"/>
  <c r="P36" i="2"/>
  <c r="Q30" i="2"/>
  <c r="P30" i="2"/>
  <c r="I80" i="2"/>
  <c r="I78" i="2"/>
  <c r="I76" i="2"/>
  <c r="I74" i="2"/>
  <c r="I72" i="2"/>
  <c r="I70" i="2"/>
  <c r="I68" i="2"/>
  <c r="I66" i="2"/>
  <c r="I64" i="2"/>
  <c r="I62" i="2"/>
  <c r="I60" i="2"/>
  <c r="I58" i="2"/>
  <c r="I56" i="2"/>
  <c r="I54" i="2"/>
  <c r="I52" i="2"/>
  <c r="I50" i="2"/>
  <c r="I48" i="2"/>
  <c r="I46" i="2"/>
  <c r="I44" i="2"/>
  <c r="I42" i="2"/>
  <c r="I40" i="2"/>
  <c r="I38" i="2"/>
  <c r="I36" i="2"/>
  <c r="I34" i="2"/>
  <c r="I32" i="2"/>
  <c r="I30" i="2"/>
  <c r="I28" i="2"/>
  <c r="I26" i="2"/>
  <c r="I10" i="2"/>
  <c r="I12" i="2"/>
  <c r="I14" i="2"/>
  <c r="I16" i="2"/>
  <c r="I18" i="2"/>
  <c r="I20" i="2"/>
  <c r="I22" i="2"/>
  <c r="I24" i="2"/>
  <c r="I82" i="2"/>
  <c r="F8" i="2"/>
  <c r="F9" i="2"/>
  <c r="H82" i="2"/>
  <c r="G8" i="2"/>
</calcChain>
</file>

<file path=xl/sharedStrings.xml><?xml version="1.0" encoding="utf-8"?>
<sst xmlns="http://schemas.openxmlformats.org/spreadsheetml/2006/main" count="727" uniqueCount="224">
  <si>
    <t>Al</t>
  </si>
  <si>
    <t>As</t>
  </si>
  <si>
    <t>B</t>
  </si>
  <si>
    <t>Ba</t>
  </si>
  <si>
    <t>Be</t>
  </si>
  <si>
    <t>Bi</t>
  </si>
  <si>
    <t>Br</t>
  </si>
  <si>
    <t>Ca</t>
  </si>
  <si>
    <t>Cd</t>
  </si>
  <si>
    <t>Cl</t>
  </si>
  <si>
    <t>Co</t>
  </si>
  <si>
    <t>Cr</t>
  </si>
  <si>
    <t>Cs</t>
  </si>
  <si>
    <t>Cu</t>
  </si>
  <si>
    <t>Fe</t>
  </si>
  <si>
    <t>Ga</t>
  </si>
  <si>
    <t>I</t>
  </si>
  <si>
    <t>In</t>
  </si>
  <si>
    <t>K</t>
  </si>
  <si>
    <t>Li</t>
  </si>
  <si>
    <t>Mg</t>
  </si>
  <si>
    <t>Mn</t>
  </si>
  <si>
    <t>Mo</t>
  </si>
  <si>
    <t>Na</t>
  </si>
  <si>
    <t>Ni</t>
  </si>
  <si>
    <t>Pb</t>
  </si>
  <si>
    <t>Rb</t>
  </si>
  <si>
    <t>S</t>
  </si>
  <si>
    <t>Se</t>
  </si>
  <si>
    <t>Si</t>
  </si>
  <si>
    <t>Sr</t>
  </si>
  <si>
    <t>U</t>
  </si>
  <si>
    <t>V</t>
  </si>
  <si>
    <t>Zn</t>
  </si>
  <si>
    <t>Tl</t>
  </si>
  <si>
    <t>Captiv8 Aquaculture Salinity and Ionic Value Calculator for ICP Analysis</t>
  </si>
  <si>
    <t>% Variance of</t>
  </si>
  <si>
    <t>Calculated Values at Sample S</t>
  </si>
  <si>
    <t>Net System Volume (gal.)</t>
  </si>
  <si>
    <t>n/a</t>
  </si>
  <si>
    <t>Supplement</t>
  </si>
  <si>
    <t>Isol8 B</t>
  </si>
  <si>
    <t>Isol8 Br</t>
  </si>
  <si>
    <t>Isol8 Co</t>
  </si>
  <si>
    <t>Isol8 Cu</t>
  </si>
  <si>
    <t>Isol8 Fe</t>
  </si>
  <si>
    <t>Isol8 I</t>
  </si>
  <si>
    <t>Isol8 K</t>
  </si>
  <si>
    <t>Isol8 Mg</t>
  </si>
  <si>
    <t>Isol8 Mn</t>
  </si>
  <si>
    <t>Isol8 Mo</t>
  </si>
  <si>
    <t>Isol8 Ni</t>
  </si>
  <si>
    <t>Isol8 Rb</t>
  </si>
  <si>
    <t>Isol8 Se</t>
  </si>
  <si>
    <t>Isol8 Si</t>
  </si>
  <si>
    <t>Isol8 Sr</t>
  </si>
  <si>
    <t>Isol8 V</t>
  </si>
  <si>
    <t>Isol8 Zn</t>
  </si>
  <si>
    <t>F</t>
  </si>
  <si>
    <t>Isol8 F</t>
  </si>
  <si>
    <t>Measured vs. Calculated</t>
  </si>
  <si>
    <t>Dosage req'd at time of sampling</t>
  </si>
  <si>
    <t>mL</t>
  </si>
  <si>
    <t>Drops (20 per mL)</t>
  </si>
  <si>
    <t>Aluminum</t>
  </si>
  <si>
    <t>Arsenic</t>
  </si>
  <si>
    <t>Boron</t>
  </si>
  <si>
    <t>Barium</t>
  </si>
  <si>
    <t>Beryllium</t>
  </si>
  <si>
    <t>Bismuth</t>
  </si>
  <si>
    <t>Bromide</t>
  </si>
  <si>
    <t>Calcium</t>
  </si>
  <si>
    <t>Chloride</t>
  </si>
  <si>
    <t>Cobalt</t>
  </si>
  <si>
    <t>Chromium</t>
  </si>
  <si>
    <t>Caesium</t>
  </si>
  <si>
    <t>Copper</t>
  </si>
  <si>
    <t>Fluoride</t>
  </si>
  <si>
    <t>Iron</t>
  </si>
  <si>
    <t>Gallium</t>
  </si>
  <si>
    <t>Iodide</t>
  </si>
  <si>
    <t>Indium</t>
  </si>
  <si>
    <t>Potassium</t>
  </si>
  <si>
    <t>Lithium</t>
  </si>
  <si>
    <t>Magnesium</t>
  </si>
  <si>
    <t>Manganese</t>
  </si>
  <si>
    <t>Molybdenum</t>
  </si>
  <si>
    <t>Sodium</t>
  </si>
  <si>
    <t>Nickel</t>
  </si>
  <si>
    <t>Lead</t>
  </si>
  <si>
    <t>Rubidium</t>
  </si>
  <si>
    <t>Sulfur</t>
  </si>
  <si>
    <t>Selenium</t>
  </si>
  <si>
    <t>Silicon</t>
  </si>
  <si>
    <t>Strontium</t>
  </si>
  <si>
    <t>Thallium</t>
  </si>
  <si>
    <t>Uranium</t>
  </si>
  <si>
    <t>Vanadium</t>
  </si>
  <si>
    <t>Zinc</t>
  </si>
  <si>
    <t>Alkalinity</t>
  </si>
  <si>
    <t>dKH</t>
  </si>
  <si>
    <t>Water temperature</t>
  </si>
  <si>
    <t>°F</t>
  </si>
  <si>
    <t>Specific Gravity</t>
  </si>
  <si>
    <t>g/cm3</t>
  </si>
  <si>
    <t>ICP Analysis Evaluation</t>
  </si>
  <si>
    <t>Sulfate Calculated</t>
  </si>
  <si>
    <t>Salinity Calculated*</t>
  </si>
  <si>
    <t>*Calculated salinity incorporates reported alkalinity value, and assumes that the majority of alkalinity comes from carbonate species.</t>
  </si>
  <si>
    <t>Reported Values</t>
  </si>
  <si>
    <t>Element</t>
  </si>
  <si>
    <t>Symbol</t>
  </si>
  <si>
    <t>Note: In systems with hydroxide and borate dosing, dKH is of questionable value; better is to use meq/L, which takes into account all ions which influence pH.</t>
  </si>
  <si>
    <t>Cadmium</t>
  </si>
  <si>
    <t>Captiv8 Aquaculture</t>
  </si>
  <si>
    <t>ppm</t>
  </si>
  <si>
    <t>**Natural Seawater Ionic Reference Values at S=35.1797, incorporating dKH value reported in ICP analysis.</t>
  </si>
  <si>
    <t>Std NSW Values** @ S</t>
  </si>
  <si>
    <t>Adj NSW Values @ S</t>
  </si>
  <si>
    <t>Total mg req'd</t>
  </si>
  <si>
    <t>Recommended change in daily dosage*</t>
  </si>
  <si>
    <t>*Apply the recommended change in daily dosing to the current dosage of that solution (if applicable). If an element is elevated and the recommendation is to change the daily dosage by a negative value, then simply deduct the recommended change in dosage from the current dosage.</t>
  </si>
  <si>
    <t>Isol8 Cr</t>
  </si>
  <si>
    <t>Isol8 Ca</t>
  </si>
  <si>
    <t>Ion</t>
  </si>
  <si>
    <t>days</t>
  </si>
  <si>
    <t>gallons</t>
  </si>
  <si>
    <t>Condition</t>
  </si>
  <si>
    <t>Isol8 MT Calculation</t>
  </si>
  <si>
    <t>gallon(s)</t>
  </si>
  <si>
    <t>In a clean mixing and storage vessel, add the following gallons of purified water:</t>
  </si>
  <si>
    <t>Step 1</t>
  </si>
  <si>
    <t>Step 2</t>
  </si>
  <si>
    <t>Step 3</t>
  </si>
  <si>
    <t>Step 4</t>
  </si>
  <si>
    <t>Step 5</t>
  </si>
  <si>
    <t>Add purified water to the vessel until the total volume is:</t>
  </si>
  <si>
    <t>Set the dosing pump to dispense the following volume of solution to the system every 24 hours:</t>
  </si>
  <si>
    <t>% Variance</t>
  </si>
  <si>
    <t>Calculated Salinity</t>
  </si>
  <si>
    <t>NSW [Ion]</t>
  </si>
  <si>
    <t>Remarks</t>
  </si>
  <si>
    <t>Cap the vessel securely and shake for 30 seconds, or use a clean stirring rod and stir for 1 minute, to ensure homogeneity of the solution. Store the solution at room temperature and avoid exposure to strong light sources.  Do not permit contamination.  Transfer the solution to the dosing vessel (if necessary) and install the intake tube to the dosing pump.</t>
  </si>
  <si>
    <t>Enter Data</t>
  </si>
  <si>
    <t>Critical to photosynthesis and other biochemical processes, including pigment formation.</t>
  </si>
  <si>
    <t>Contributes to alkalinity and biological pigmentation.</t>
  </si>
  <si>
    <t>Contributes to aragonite formation and secretion.</t>
  </si>
  <si>
    <t>Most prevalent anion in seawater; ideal % Variance value is within 5% of NSW[Ion].</t>
  </si>
  <si>
    <t>Second-most prevalent anion in seawater; ideal % Variance value is within 5% of NSW[Ion].</t>
  </si>
  <si>
    <t>Contributes to aragonite formation and secretion; associated with alkalinity balance.</t>
  </si>
  <si>
    <t>Most prevalent cation in seawater; ideal % Variance value is within 5% of NSW[Ion].</t>
  </si>
  <si>
    <t>Critical to some groups of plankton, as well as dinoflagellates such as zooxanthellae.</t>
  </si>
  <si>
    <t>Potentially toxic to marine life when % Variance value &gt;0.</t>
  </si>
  <si>
    <t>Associated with biochemical processes.</t>
  </si>
  <si>
    <t>Associated with biochemical processes and biological pigment formation.</t>
  </si>
  <si>
    <t>Enter name here</t>
  </si>
  <si>
    <t>Any ions in the following list which are "Deficient" should be supplemented with the appropriate Isol8 solution using the value shown in the table above.</t>
  </si>
  <si>
    <t>Copyright 2023 Captiv8 Aquaculture | Sheridan, WY 82801 USA | lab@captiv8aquaculture.com</t>
  </si>
  <si>
    <t>Note: while iodide is a component of Isol8 MT, it is rapidly reduced in recirculating marine ecosystems, and an elevated condition generally does not persist for more than 48 hours following cessation of iodide dosing. Therefore, we do not advocate a decrease in Isol8 MT dosing if the only component ion showing an elevated state is iodide. For this reason, iodide is excluded from the list below.</t>
  </si>
  <si>
    <t>Manual Dosing Recommendations</t>
  </si>
  <si>
    <t>Drops</t>
  </si>
  <si>
    <t>Sol'n Strength ppm</t>
  </si>
  <si>
    <t>Name</t>
  </si>
  <si>
    <t>Enter value in µg/L or ppb</t>
  </si>
  <si>
    <t>Values reported in ICP Analysis</t>
  </si>
  <si>
    <t>Analysis</t>
  </si>
  <si>
    <t>Net system volume (gallons)</t>
  </si>
  <si>
    <t>For dosing recommendations, see "Manual Dosing" and "Automated Dosing" tabs.</t>
  </si>
  <si>
    <t>Solution</t>
  </si>
  <si>
    <t>Revised daily dosage</t>
  </si>
  <si>
    <t>Automated Dosing Calculator</t>
  </si>
  <si>
    <t>Enter volume of dosing solution being prepared:</t>
  </si>
  <si>
    <t>Days' Solution</t>
  </si>
  <si>
    <t>Do not mix the custom dosing solution with highly-alkaline solutions, such as buffer solutions or kalkwasser solution.</t>
  </si>
  <si>
    <t>Days until next ICP analysis</t>
  </si>
  <si>
    <t>Days of solution being prepared:</t>
  </si>
  <si>
    <t>Change in daily dosing</t>
  </si>
  <si>
    <t>If you are currently dosing Isol8 MT, then please refer to the white box below.</t>
  </si>
  <si>
    <r>
      <t xml:space="preserve">If you are new to this version of the Calculator, then </t>
    </r>
    <r>
      <rPr>
        <b/>
        <sz val="12"/>
        <rFont val="Calibri (body)"/>
      </rPr>
      <t>please view the accompanying YouTube video</t>
    </r>
    <r>
      <rPr>
        <sz val="12"/>
        <rFont val="Calibri (body)"/>
      </rPr>
      <t>, which provides important and useful information about entering values and how to use this file.</t>
    </r>
  </si>
  <si>
    <r>
      <rPr>
        <b/>
        <sz val="12"/>
        <rFont val="Calibri (body)"/>
      </rPr>
      <t>Enter ICP values for all elements in ppm or mg/L</t>
    </r>
    <r>
      <rPr>
        <sz val="12"/>
        <rFont val="Calibri (body)"/>
      </rPr>
      <t xml:space="preserve"> (these units are similar enough in a dilute solution such as seawater for the purpose of this calculator).</t>
    </r>
  </si>
  <si>
    <r>
      <t xml:space="preserve">If your ICP analysis reports vales in units other than ppm or mg/L, then </t>
    </r>
    <r>
      <rPr>
        <b/>
        <sz val="12"/>
        <color theme="1"/>
        <rFont val="Calibri (body)"/>
      </rPr>
      <t>use the conversion tool below to determine ppm</t>
    </r>
    <r>
      <rPr>
        <sz val="12"/>
        <color theme="1"/>
        <rFont val="Calibri (body)"/>
      </rPr>
      <t>, and enter the 'ppm' value into the appropriate cell below.</t>
    </r>
  </si>
  <si>
    <r>
      <rPr>
        <b/>
        <sz val="12"/>
        <rFont val="Calibri (body)"/>
      </rPr>
      <t>CHLORIDE:</t>
    </r>
    <r>
      <rPr>
        <sz val="12"/>
        <rFont val="Calibri (body)"/>
      </rPr>
      <t xml:space="preserve"> If analsysis does not include chloride (this may be shown as "chlorine" on some reports) value, then be sure to enter values for specific gravity and water temperature, continue completing all other fields, and save and email the file to us; we will provide a calculated chloride value.</t>
    </r>
  </si>
  <si>
    <t>Enter current daily dosage</t>
  </si>
  <si>
    <t>For any solutions not currently being dosed, leave value as '0.0000'.</t>
  </si>
  <si>
    <r>
      <rPr>
        <b/>
        <i/>
        <sz val="12"/>
        <color theme="1"/>
        <rFont val="Calibri (body)"/>
      </rPr>
      <t xml:space="preserve">Exceptions: </t>
    </r>
    <r>
      <rPr>
        <i/>
        <sz val="12"/>
        <color theme="1"/>
        <rFont val="Calibri (body)"/>
      </rPr>
      <t>If you intend to create a master solution incorporating either</t>
    </r>
    <r>
      <rPr>
        <b/>
        <i/>
        <sz val="12"/>
        <color theme="1"/>
        <rFont val="Calibri (body)"/>
      </rPr>
      <t xml:space="preserve"> Isol8 Mg, Isol8 Ca, </t>
    </r>
    <r>
      <rPr>
        <i/>
        <sz val="12"/>
        <color theme="1"/>
        <rFont val="Calibri (body)"/>
      </rPr>
      <t>or</t>
    </r>
    <r>
      <rPr>
        <b/>
        <i/>
        <sz val="12"/>
        <color theme="1"/>
        <rFont val="Calibri (body)"/>
      </rPr>
      <t xml:space="preserve"> Isol8 Sr</t>
    </r>
    <r>
      <rPr>
        <i/>
        <sz val="12"/>
        <color theme="1"/>
        <rFont val="Calibri (body)"/>
      </rPr>
      <t xml:space="preserve">, then </t>
    </r>
    <r>
      <rPr>
        <b/>
        <i/>
        <sz val="12"/>
        <color theme="1"/>
        <rFont val="Calibri (body)"/>
      </rPr>
      <t>Isol8 B and Isol8 Si should be dosed in a separate dilute solution.</t>
    </r>
  </si>
  <si>
    <t>If you prefer not to dose one of the individual solutions listed below, then simply omit that solution when preparing the master dosing solution.</t>
  </si>
  <si>
    <t>The individual Captiv8 Aquaculture solutions listed in the calculator are completely compatible when mixed as directed into a dilute "master" dosing solution, with the exceptions noted below.</t>
  </si>
  <si>
    <r>
      <t xml:space="preserve">If you are currently dosing Isol8 MT and the values of </t>
    </r>
    <r>
      <rPr>
        <b/>
        <u/>
        <sz val="12"/>
        <rFont val="Calibri (body)"/>
      </rPr>
      <t>any</t>
    </r>
    <r>
      <rPr>
        <b/>
        <sz val="12"/>
        <rFont val="Calibri (body)"/>
      </rPr>
      <t xml:space="preserve"> of the ions listed in the table below are elevated by more than 100% but are less than 200%, then change daily dosage to 1 drop Isol8 MT per 100 gallons net system volume until subsequent ICP analysis indicates that values are within 100% of standardized value.</t>
    </r>
  </si>
  <si>
    <r>
      <t xml:space="preserve">If you are currently dosing Isol8 MT and the values of </t>
    </r>
    <r>
      <rPr>
        <b/>
        <u/>
        <sz val="12"/>
        <rFont val="Calibri (body)"/>
      </rPr>
      <t>any</t>
    </r>
    <r>
      <rPr>
        <b/>
        <sz val="12"/>
        <rFont val="Calibri (body)"/>
      </rPr>
      <t xml:space="preserve"> of the ions listed in the table below are elevated </t>
    </r>
    <r>
      <rPr>
        <b/>
        <i/>
        <sz val="12"/>
        <rFont val="Calibri (body)"/>
      </rPr>
      <t>by more than 200%</t>
    </r>
    <r>
      <rPr>
        <b/>
        <sz val="12"/>
        <rFont val="Calibri (body)"/>
      </rPr>
      <t>, then change daily dosage to 1 drop Isol8 MT per 200 gallons net system volume until subsequent ICP analysis indicates that values are within 100% of standardized value.</t>
    </r>
  </si>
  <si>
    <r>
      <t>If your preference is to prepare a master solution which can be dosed by a dosing pump over a number of days, then go to</t>
    </r>
    <r>
      <rPr>
        <b/>
        <sz val="12"/>
        <color theme="1"/>
        <rFont val="Calibri (body)"/>
      </rPr>
      <t xml:space="preserve"> 'Automated Dosing'</t>
    </r>
    <r>
      <rPr>
        <sz val="12"/>
        <color theme="1"/>
        <rFont val="Calibri (body)"/>
      </rPr>
      <t xml:space="preserve"> tab.</t>
    </r>
  </si>
  <si>
    <t>Potentially toxic to marine life when elevated. We recommend maintaining the concentration in a "Deficient" condition.</t>
  </si>
  <si>
    <r>
      <t xml:space="preserve">Add drops </t>
    </r>
    <r>
      <rPr>
        <b/>
        <i/>
        <u/>
        <sz val="12"/>
        <color theme="1"/>
        <rFont val="Calibri (body)"/>
      </rPr>
      <t>or</t>
    </r>
    <r>
      <rPr>
        <sz val="12"/>
        <color theme="1"/>
        <rFont val="Calibri (body)"/>
      </rPr>
      <t xml:space="preserve"> mL of Isol8 solutions, as shown:</t>
    </r>
  </si>
  <si>
    <t>Isol8 MT is compatible with all Isol8 solutions listed in the calculator above, and may be included in the master solution if desired.  Please refer to the following to determine dosage:</t>
  </si>
  <si>
    <t>If you dose any of the solutions less frequently than every day (e.g. every two, three, four days, etc.), then adjust the daily dosage volume, accordingly.</t>
  </si>
  <si>
    <t>Current Master Solution (prior to the ICP analysis)</t>
  </si>
  <si>
    <t>Revised Master Solution</t>
  </si>
  <si>
    <t>Follow the mixing steps as directed. Do not mix the individual solutions together and then add them to a greater volume of water; always add individual solutions to a greater volume of water to create a single dilute dosing solution.</t>
  </si>
  <si>
    <t>Step 6</t>
  </si>
  <si>
    <t>Current/day</t>
  </si>
  <si>
    <t>Change/day</t>
  </si>
  <si>
    <t>Revised/day</t>
  </si>
  <si>
    <t>First, enter the daily dosage of the solution under columns E or F. This reflects the volume of each solution that was present in the outdated master solution.</t>
  </si>
  <si>
    <t>Step 7</t>
  </si>
  <si>
    <t>Step 8</t>
  </si>
  <si>
    <t>Enter the number of days that the outdated solution was prepared to be dosed:</t>
  </si>
  <si>
    <t>Enter volume of each solution added:</t>
  </si>
  <si>
    <r>
      <t xml:space="preserve">This tab summarizes, and quantifies, the differences between the values reported in the ICP analysis and what the ionic values </t>
    </r>
    <r>
      <rPr>
        <i/>
        <sz val="12"/>
        <rFont val="Cailbri (body)"/>
      </rPr>
      <t>would be</t>
    </r>
    <r>
      <rPr>
        <sz val="12"/>
        <rFont val="Cailbri (body)"/>
      </rPr>
      <t xml:space="preserve"> in a sample of seawater with identical salinity.</t>
    </r>
  </si>
  <si>
    <r>
      <t xml:space="preserve">For </t>
    </r>
    <r>
      <rPr>
        <b/>
        <i/>
        <sz val="12"/>
        <rFont val="Cailbri (body)"/>
      </rPr>
      <t>all</t>
    </r>
    <r>
      <rPr>
        <sz val="12"/>
        <rFont val="Cailbri (body)"/>
      </rPr>
      <t xml:space="preserve"> elements, if the condition indicates an excess of greater than 20%, then it is recommended to address the condition by decreasing dosing of any substance containing that element or eliminating sources, and possibly taking steps to reduce existing concentrations using appropriate filtration methods.</t>
    </r>
  </si>
  <si>
    <r>
      <t>[Ion]</t>
    </r>
    <r>
      <rPr>
        <b/>
        <sz val="6"/>
        <rFont val="Cailbri (body)"/>
      </rPr>
      <t>NSW</t>
    </r>
    <r>
      <rPr>
        <sz val="12"/>
        <rFont val="Cailbri (body)"/>
      </rPr>
      <t xml:space="preserve"> at salinity of ICP sample</t>
    </r>
  </si>
  <si>
    <t>Manual Dosing Calculations</t>
  </si>
  <si>
    <t>This page intentionally left blank.</t>
  </si>
  <si>
    <r>
      <t xml:space="preserve">Column 'G' shows salinity-adjusted ionic values (what the values </t>
    </r>
    <r>
      <rPr>
        <i/>
        <sz val="8"/>
        <color theme="0"/>
        <rFont val="Tahoma"/>
      </rPr>
      <t>should be</t>
    </r>
    <r>
      <rPr>
        <sz val="8"/>
        <color theme="0"/>
        <rFont val="Tahoma"/>
      </rPr>
      <t xml:space="preserve"> at the measured salinity using NSW S = 35.1797 as standard).</t>
    </r>
  </si>
  <si>
    <t>Calculated Salinity of sample, incl. alkalinity:</t>
  </si>
  <si>
    <t>Use this tab if you are dosing Isol8 solutions listed in the table below manually (by hand).</t>
  </si>
  <si>
    <t>First, enter the current daily dosage of the solution under columns G or H.</t>
  </si>
  <si>
    <t>Follow the Revised Daily Dosage until the results of the next ICP analysis are received.</t>
  </si>
  <si>
    <t>The revised master solution calculation will appear in the table on the right. This is the solution that will be dosed until the results from the next ICP analysis are received.</t>
  </si>
  <si>
    <r>
      <t xml:space="preserve">If the ICP analysis that you have had performed does not provide a value for an element appearing in the list below, or the value reported is below the ICP detection level (e.g. "none detected"), then </t>
    </r>
    <r>
      <rPr>
        <b/>
        <sz val="12"/>
        <rFont val="Calibri (body)"/>
      </rPr>
      <t>leave value as "0.0000"</t>
    </r>
    <r>
      <rPr>
        <sz val="12"/>
        <rFont val="Calibri (body)"/>
      </rPr>
      <t>.</t>
    </r>
  </si>
  <si>
    <t>Version 2023-06a</t>
  </si>
  <si>
    <t>Isol8 Ba</t>
  </si>
  <si>
    <t>Associated with biogenic aragonite formation; critical to reef building organisms.</t>
  </si>
  <si>
    <t>Calculated Salinity of this sample</t>
  </si>
  <si>
    <t>NOTE: Salinity value should be between 34 and 40; if it is significantly lower, then re-check values entered to be sure that all values are reported as ppm or mg/L.</t>
  </si>
  <si>
    <t>PLEASE direct all questions regarding the use of this calculator and/or interpretation of the analysis to lab@captiv8aquaculture.com.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</si>
</sst>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E+00"/>
    <numFmt numFmtId="166" formatCode="0.0000"/>
    <numFmt numFmtId="167" formatCode="[$-409]d\-mmm\-yy;@"/>
    <numFmt numFmtId="168" formatCode="0.0000%"/>
    <numFmt numFmtId="169" formatCode="0.0000000"/>
    <numFmt numFmtId="170" formatCode="0.000000"/>
    <numFmt numFmtId="171" formatCode="0.00000"/>
  </numFmts>
  <fonts count="3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name val="Cailbri (body)"/>
    </font>
    <font>
      <sz val="12"/>
      <color theme="0"/>
      <name val="Cailbri (body)"/>
    </font>
    <font>
      <b/>
      <sz val="18"/>
      <name val="Calibri (body)"/>
    </font>
    <font>
      <sz val="12"/>
      <color theme="1"/>
      <name val="Calibri (body)"/>
    </font>
    <font>
      <sz val="12"/>
      <name val="Calibri (body)"/>
    </font>
    <font>
      <sz val="10"/>
      <name val="Calibri (body)"/>
    </font>
    <font>
      <b/>
      <sz val="12"/>
      <name val="Calibri (body)"/>
    </font>
    <font>
      <b/>
      <sz val="12"/>
      <color theme="1"/>
      <name val="Calibri (body)"/>
    </font>
    <font>
      <sz val="12"/>
      <color theme="0"/>
      <name val="Calibri (body)"/>
    </font>
    <font>
      <sz val="10"/>
      <color theme="1"/>
      <name val="Calibri (body)"/>
    </font>
    <font>
      <i/>
      <sz val="12"/>
      <color theme="1"/>
      <name val="Calibri (body)"/>
    </font>
    <font>
      <b/>
      <i/>
      <sz val="12"/>
      <color theme="1"/>
      <name val="Calibri (body)"/>
    </font>
    <font>
      <b/>
      <sz val="12"/>
      <color theme="0"/>
      <name val="Calibri (body)"/>
    </font>
    <font>
      <b/>
      <u/>
      <sz val="12"/>
      <name val="Calibri (body)"/>
    </font>
    <font>
      <b/>
      <i/>
      <sz val="12"/>
      <name val="Calibri (body)"/>
    </font>
    <font>
      <b/>
      <i/>
      <u/>
      <sz val="12"/>
      <color theme="1"/>
      <name val="Calibri (body)"/>
    </font>
    <font>
      <sz val="12"/>
      <color theme="0"/>
      <name val="Calibri"/>
      <family val="2"/>
      <scheme val="minor"/>
    </font>
    <font>
      <b/>
      <sz val="12"/>
      <name val="Cailbri (body)"/>
    </font>
    <font>
      <i/>
      <sz val="12"/>
      <name val="Cailbri (body)"/>
    </font>
    <font>
      <b/>
      <i/>
      <sz val="12"/>
      <name val="Cailbri (body)"/>
    </font>
    <font>
      <b/>
      <sz val="6"/>
      <name val="Cailbri (body)"/>
    </font>
    <font>
      <sz val="8"/>
      <color theme="0"/>
      <name val="Tahoma"/>
    </font>
    <font>
      <b/>
      <sz val="8"/>
      <color theme="0"/>
      <name val="Tahoma"/>
    </font>
    <font>
      <sz val="8"/>
      <color theme="0"/>
      <name val="Arial"/>
    </font>
    <font>
      <u/>
      <sz val="8"/>
      <color theme="0"/>
      <name val="Tahoma"/>
    </font>
    <font>
      <sz val="8"/>
      <color theme="0"/>
      <name val="Calibri"/>
      <family val="2"/>
      <scheme val="minor"/>
    </font>
    <font>
      <i/>
      <sz val="8"/>
      <color theme="0"/>
      <name val="Tahoma"/>
    </font>
    <font>
      <b/>
      <sz val="10"/>
      <color theme="0"/>
      <name val="Calibri (body)"/>
    </font>
    <font>
      <sz val="8"/>
      <name val="Calibri (body)"/>
    </font>
    <font>
      <sz val="12"/>
      <color theme="8" tint="0.39997558519241921"/>
      <name val="Calibri (body)"/>
    </font>
  </fonts>
  <fills count="9">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rgb="FF800000"/>
        <bgColor indexed="64"/>
      </patternFill>
    </fill>
    <fill>
      <patternFill patternType="solid">
        <fgColor theme="8" tint="-0.499984740745262"/>
        <bgColor indexed="64"/>
      </patternFill>
    </fill>
    <fill>
      <patternFill patternType="solid">
        <fgColor rgb="FFFFD966"/>
        <bgColor rgb="FF000000"/>
      </patternFill>
    </fill>
    <fill>
      <patternFill patternType="solid">
        <fgColor theme="8" tint="-0.24997711111789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9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43">
    <xf numFmtId="0" fontId="0" fillId="0" borderId="0" xfId="0"/>
    <xf numFmtId="0" fontId="5" fillId="3" borderId="0" xfId="0" applyFont="1" applyFill="1" applyBorder="1" applyAlignment="1">
      <alignment horizontal="center" vertical="center" wrapText="1"/>
    </xf>
    <xf numFmtId="166" fontId="5" fillId="3" borderId="0" xfId="0" applyNumberFormat="1" applyFont="1" applyFill="1" applyBorder="1" applyAlignment="1">
      <alignment horizontal="left" vertical="center"/>
    </xf>
    <xf numFmtId="0" fontId="9" fillId="3" borderId="0" xfId="0" applyFont="1" applyFill="1"/>
    <xf numFmtId="0" fontId="8" fillId="3" borderId="0" xfId="0" applyFont="1" applyFill="1" applyAlignment="1">
      <alignment vertical="top"/>
    </xf>
    <xf numFmtId="0" fontId="8" fillId="3" borderId="0" xfId="0" applyFont="1" applyFill="1" applyAlignment="1">
      <alignment vertical="center" wrapText="1"/>
    </xf>
    <xf numFmtId="0" fontId="9" fillId="3" borderId="1" xfId="0" applyFont="1" applyFill="1" applyBorder="1" applyAlignment="1">
      <alignment horizontal="center"/>
    </xf>
    <xf numFmtId="0" fontId="8" fillId="3" borderId="2" xfId="0" applyFont="1" applyFill="1" applyBorder="1" applyAlignment="1">
      <alignment horizontal="center" vertical="top"/>
    </xf>
    <xf numFmtId="0" fontId="8" fillId="3" borderId="3" xfId="0" applyFont="1" applyFill="1" applyBorder="1" applyAlignment="1">
      <alignment horizontal="center" vertical="top"/>
    </xf>
    <xf numFmtId="171" fontId="8" fillId="2" borderId="6" xfId="0" applyNumberFormat="1" applyFont="1" applyFill="1" applyBorder="1" applyAlignment="1" applyProtection="1">
      <alignment horizontal="center" vertical="top"/>
      <protection locked="0"/>
    </xf>
    <xf numFmtId="0" fontId="8" fillId="3" borderId="7" xfId="0" applyFont="1" applyFill="1" applyBorder="1" applyAlignment="1">
      <alignment horizontal="center" vertical="top"/>
    </xf>
    <xf numFmtId="171" fontId="8" fillId="3" borderId="8" xfId="0" applyNumberFormat="1" applyFont="1" applyFill="1" applyBorder="1" applyAlignment="1">
      <alignment horizontal="center" vertical="top"/>
    </xf>
    <xf numFmtId="0" fontId="9" fillId="3" borderId="0" xfId="0" applyFont="1" applyFill="1" applyAlignment="1">
      <alignment vertical="top"/>
    </xf>
    <xf numFmtId="0" fontId="11" fillId="3" borderId="0" xfId="0" applyFont="1" applyFill="1"/>
    <xf numFmtId="0" fontId="8" fillId="3" borderId="0" xfId="0" applyFont="1" applyFill="1" applyAlignment="1">
      <alignment vertical="top" wrapText="1"/>
    </xf>
    <xf numFmtId="0" fontId="11" fillId="3" borderId="0" xfId="0" applyFont="1" applyFill="1" applyAlignment="1"/>
    <xf numFmtId="0" fontId="9" fillId="3" borderId="0" xfId="0" applyFont="1" applyFill="1" applyAlignment="1"/>
    <xf numFmtId="0" fontId="8" fillId="3" borderId="0" xfId="0" applyFont="1" applyFill="1" applyAlignment="1"/>
    <xf numFmtId="0" fontId="9" fillId="3" borderId="0" xfId="0" applyFont="1" applyFill="1" applyAlignment="1">
      <alignment vertical="justify"/>
    </xf>
    <xf numFmtId="0" fontId="9" fillId="3" borderId="0" xfId="0" applyFont="1" applyFill="1" applyAlignment="1">
      <alignment vertical="center" wrapText="1"/>
    </xf>
    <xf numFmtId="0" fontId="9" fillId="3" borderId="0" xfId="0" applyFont="1" applyFill="1" applyAlignment="1">
      <alignment horizontal="left"/>
    </xf>
    <xf numFmtId="0" fontId="9" fillId="3" borderId="0" xfId="0" applyFont="1" applyFill="1" applyAlignment="1">
      <alignment horizontal="center"/>
    </xf>
    <xf numFmtId="166" fontId="9" fillId="3" borderId="0" xfId="0" applyNumberFormat="1" applyFont="1" applyFill="1" applyAlignment="1">
      <alignment horizontal="left" vertical="center"/>
    </xf>
    <xf numFmtId="164" fontId="9" fillId="3" borderId="0" xfId="0" applyNumberFormat="1" applyFont="1" applyFill="1" applyAlignment="1">
      <alignment horizontal="left"/>
    </xf>
    <xf numFmtId="166" fontId="9" fillId="3" borderId="0" xfId="0" applyNumberFormat="1" applyFont="1" applyFill="1"/>
    <xf numFmtId="0" fontId="11" fillId="3" borderId="0" xfId="0" applyFont="1" applyFill="1" applyAlignment="1">
      <alignment horizontal="center"/>
    </xf>
    <xf numFmtId="0" fontId="9" fillId="3" borderId="0" xfId="0" applyFont="1" applyFill="1" applyAlignment="1">
      <alignment horizontal="center" vertical="center" wrapText="1"/>
    </xf>
    <xf numFmtId="170" fontId="9" fillId="3" borderId="0" xfId="0" applyNumberFormat="1" applyFont="1" applyFill="1"/>
    <xf numFmtId="10" fontId="13" fillId="5" borderId="0" xfId="412" applyNumberFormat="1" applyFont="1" applyFill="1" applyBorder="1" applyProtection="1"/>
    <xf numFmtId="9" fontId="13" fillId="5" borderId="0" xfId="412" applyFont="1" applyFill="1" applyBorder="1" applyProtection="1"/>
    <xf numFmtId="0" fontId="13" fillId="5" borderId="0" xfId="0" applyFont="1" applyFill="1"/>
    <xf numFmtId="10" fontId="9" fillId="3" borderId="0" xfId="412" applyNumberFormat="1" applyFont="1" applyFill="1" applyBorder="1" applyProtection="1"/>
    <xf numFmtId="9" fontId="9" fillId="3" borderId="0" xfId="412" applyFont="1" applyFill="1" applyBorder="1" applyProtection="1"/>
    <xf numFmtId="0" fontId="12" fillId="3" borderId="0" xfId="0" applyFont="1" applyFill="1"/>
    <xf numFmtId="0" fontId="8" fillId="3" borderId="0" xfId="0" applyFont="1" applyFill="1"/>
    <xf numFmtId="0" fontId="9" fillId="3" borderId="9" xfId="0" applyFont="1" applyFill="1" applyBorder="1" applyAlignment="1">
      <alignment horizontal="center"/>
    </xf>
    <xf numFmtId="0" fontId="8" fillId="3" borderId="10"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166" fontId="9" fillId="3" borderId="10" xfId="0" applyNumberFormat="1" applyFont="1" applyFill="1" applyBorder="1" applyAlignment="1">
      <alignment horizontal="center"/>
    </xf>
    <xf numFmtId="3" fontId="9" fillId="3" borderId="4" xfId="0" applyNumberFormat="1" applyFont="1" applyFill="1" applyBorder="1" applyAlignment="1">
      <alignment horizontal="center"/>
    </xf>
    <xf numFmtId="166" fontId="9" fillId="3" borderId="10" xfId="0" applyNumberFormat="1" applyFont="1" applyFill="1" applyBorder="1" applyAlignment="1">
      <alignment horizontal="center" vertical="center"/>
    </xf>
    <xf numFmtId="3" fontId="9" fillId="3" borderId="4" xfId="0" applyNumberFormat="1" applyFont="1" applyFill="1" applyBorder="1" applyAlignment="1">
      <alignment horizontal="center" vertical="center"/>
    </xf>
    <xf numFmtId="166" fontId="9" fillId="3" borderId="11" xfId="0" applyNumberFormat="1" applyFont="1" applyFill="1" applyBorder="1" applyAlignment="1">
      <alignment horizontal="center" vertical="center"/>
    </xf>
    <xf numFmtId="3" fontId="9" fillId="3" borderId="6" xfId="0" applyNumberFormat="1" applyFont="1" applyFill="1" applyBorder="1" applyAlignment="1">
      <alignment horizontal="center" vertical="center"/>
    </xf>
    <xf numFmtId="166" fontId="8" fillId="2" borderId="4" xfId="0" applyNumberFormat="1" applyFont="1" applyFill="1" applyBorder="1" applyAlignment="1" applyProtection="1">
      <alignment horizontal="center"/>
      <protection locked="0"/>
    </xf>
    <xf numFmtId="166" fontId="8" fillId="3" borderId="5" xfId="0" applyNumberFormat="1" applyFont="1" applyFill="1" applyBorder="1" applyAlignment="1" applyProtection="1">
      <alignment horizontal="center"/>
    </xf>
    <xf numFmtId="166" fontId="8" fillId="3" borderId="4" xfId="0" applyNumberFormat="1" applyFont="1" applyFill="1" applyBorder="1" applyAlignment="1">
      <alignment horizontal="center"/>
    </xf>
    <xf numFmtId="166" fontId="8" fillId="3" borderId="5" xfId="0" applyNumberFormat="1" applyFont="1" applyFill="1" applyBorder="1" applyAlignment="1">
      <alignment horizontal="center"/>
    </xf>
    <xf numFmtId="166" fontId="9" fillId="3" borderId="4" xfId="0" applyNumberFormat="1" applyFont="1" applyFill="1" applyBorder="1" applyAlignment="1">
      <alignment horizontal="center"/>
    </xf>
    <xf numFmtId="166" fontId="9" fillId="3" borderId="5" xfId="0" applyNumberFormat="1" applyFont="1" applyFill="1" applyBorder="1" applyAlignment="1">
      <alignment horizontal="center"/>
    </xf>
    <xf numFmtId="166" fontId="8" fillId="3" borderId="4" xfId="0" applyNumberFormat="1" applyFont="1" applyFill="1" applyBorder="1" applyAlignment="1" applyProtection="1">
      <alignment horizontal="center"/>
    </xf>
    <xf numFmtId="166" fontId="8" fillId="2" borderId="5" xfId="0" applyNumberFormat="1" applyFont="1" applyFill="1" applyBorder="1" applyAlignment="1" applyProtection="1">
      <alignment horizontal="center"/>
      <protection locked="0"/>
    </xf>
    <xf numFmtId="166" fontId="8" fillId="3" borderId="6" xfId="0" applyNumberFormat="1" applyFont="1" applyFill="1" applyBorder="1" applyAlignment="1" applyProtection="1">
      <alignment horizontal="center"/>
    </xf>
    <xf numFmtId="166" fontId="8" fillId="2" borderId="8" xfId="0" applyNumberFormat="1" applyFont="1" applyFill="1" applyBorder="1" applyAlignment="1" applyProtection="1">
      <alignment horizontal="center"/>
      <protection locked="0"/>
    </xf>
    <xf numFmtId="0" fontId="12" fillId="3" borderId="0" xfId="0" applyFont="1" applyFill="1" applyProtection="1"/>
    <xf numFmtId="0" fontId="8" fillId="3" borderId="0" xfId="0" applyFont="1" applyFill="1" applyProtection="1"/>
    <xf numFmtId="0" fontId="8" fillId="3" borderId="2" xfId="0" applyFont="1" applyFill="1" applyBorder="1" applyProtection="1"/>
    <xf numFmtId="1" fontId="8" fillId="3" borderId="2" xfId="0" applyNumberFormat="1" applyFont="1" applyFill="1" applyBorder="1" applyProtection="1"/>
    <xf numFmtId="0" fontId="8" fillId="3" borderId="3" xfId="0" applyFont="1" applyFill="1" applyBorder="1" applyProtection="1"/>
    <xf numFmtId="0" fontId="8" fillId="3" borderId="7" xfId="0" applyFont="1" applyFill="1" applyBorder="1" applyProtection="1"/>
    <xf numFmtId="0" fontId="8" fillId="3" borderId="7" xfId="0" applyFont="1" applyFill="1" applyBorder="1" applyAlignment="1" applyProtection="1">
      <alignment horizontal="right"/>
    </xf>
    <xf numFmtId="164" fontId="8" fillId="2" borderId="7" xfId="0" applyNumberFormat="1" applyFont="1" applyFill="1" applyBorder="1" applyProtection="1">
      <protection locked="0"/>
    </xf>
    <xf numFmtId="0" fontId="8" fillId="3" borderId="8" xfId="0" applyFont="1" applyFill="1" applyBorder="1" applyProtection="1"/>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righ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0" xfId="0" applyFont="1" applyFill="1" applyBorder="1" applyAlignment="1" applyProtection="1">
      <alignment horizontal="right"/>
    </xf>
    <xf numFmtId="0" fontId="8" fillId="3" borderId="0" xfId="0" applyFont="1" applyFill="1" applyBorder="1" applyProtection="1"/>
    <xf numFmtId="164" fontId="8" fillId="3" borderId="0" xfId="0" applyNumberFormat="1" applyFont="1" applyFill="1" applyBorder="1" applyAlignment="1" applyProtection="1">
      <alignment horizontal="center"/>
    </xf>
    <xf numFmtId="0" fontId="8" fillId="3" borderId="5" xfId="0" applyFont="1" applyFill="1" applyBorder="1" applyAlignment="1" applyProtection="1">
      <alignment horizontal="center"/>
    </xf>
    <xf numFmtId="166" fontId="8" fillId="3" borderId="0" xfId="0" applyNumberFormat="1" applyFont="1" applyFill="1" applyBorder="1" applyProtection="1"/>
    <xf numFmtId="0" fontId="8" fillId="3" borderId="4" xfId="0" applyFont="1" applyFill="1" applyBorder="1" applyAlignment="1" applyProtection="1">
      <alignment horizontal="center"/>
    </xf>
    <xf numFmtId="0" fontId="8" fillId="3" borderId="6" xfId="0" applyFont="1" applyFill="1" applyBorder="1" applyAlignment="1" applyProtection="1">
      <alignment horizontal="center"/>
    </xf>
    <xf numFmtId="166" fontId="8" fillId="3" borderId="7" xfId="0" applyNumberFormat="1" applyFont="1" applyFill="1" applyBorder="1" applyProtection="1"/>
    <xf numFmtId="164" fontId="8" fillId="3" borderId="7" xfId="0" applyNumberFormat="1" applyFont="1" applyFill="1" applyBorder="1" applyAlignment="1" applyProtection="1">
      <alignment horizontal="center"/>
    </xf>
    <xf numFmtId="0" fontId="8" fillId="3" borderId="8" xfId="0" applyFont="1" applyFill="1" applyBorder="1" applyAlignment="1" applyProtection="1">
      <alignment horizontal="center"/>
    </xf>
    <xf numFmtId="0" fontId="8" fillId="3" borderId="4" xfId="0" applyFont="1" applyFill="1" applyBorder="1" applyAlignment="1" applyProtection="1">
      <alignment horizontal="center" vertical="center"/>
    </xf>
    <xf numFmtId="0" fontId="8" fillId="3" borderId="5" xfId="0" applyFont="1" applyFill="1" applyBorder="1" applyProtection="1"/>
    <xf numFmtId="0" fontId="15" fillId="3" borderId="0" xfId="0" applyFont="1" applyFill="1" applyProtection="1"/>
    <xf numFmtId="0" fontId="8" fillId="3" borderId="0" xfId="0" applyFont="1" applyFill="1" applyAlignment="1">
      <alignment horizontal="center"/>
    </xf>
    <xf numFmtId="0" fontId="8" fillId="3" borderId="0" xfId="0" applyFont="1" applyFill="1" applyBorder="1" applyAlignment="1">
      <alignment vertical="top"/>
    </xf>
    <xf numFmtId="0" fontId="8" fillId="3" borderId="4" xfId="0" applyFont="1" applyFill="1" applyBorder="1" applyAlignment="1">
      <alignment vertical="top"/>
    </xf>
    <xf numFmtId="0" fontId="9" fillId="3" borderId="1" xfId="0" applyFont="1" applyFill="1" applyBorder="1"/>
    <xf numFmtId="0" fontId="9" fillId="3" borderId="2" xfId="0" applyFont="1" applyFill="1" applyBorder="1" applyAlignment="1">
      <alignment horizontal="center" vertical="center" wrapText="1"/>
    </xf>
    <xf numFmtId="2" fontId="9" fillId="3" borderId="3" xfId="0" applyNumberFormat="1" applyFont="1" applyFill="1" applyBorder="1" applyAlignment="1">
      <alignment horizontal="right" vertical="justify"/>
    </xf>
    <xf numFmtId="0" fontId="9" fillId="3" borderId="4" xfId="0" applyFont="1" applyFill="1" applyBorder="1" applyAlignment="1">
      <alignment horizontal="center"/>
    </xf>
    <xf numFmtId="0" fontId="9" fillId="3" borderId="0" xfId="0" applyFont="1" applyFill="1" applyBorder="1" applyAlignment="1">
      <alignment horizontal="center" vertical="center" wrapText="1"/>
    </xf>
    <xf numFmtId="0" fontId="8" fillId="3" borderId="0" xfId="0" applyFont="1" applyFill="1" applyBorder="1" applyAlignment="1">
      <alignment horizontal="center"/>
    </xf>
    <xf numFmtId="0" fontId="13" fillId="6" borderId="4" xfId="0" applyFont="1" applyFill="1" applyBorder="1" applyAlignment="1">
      <alignment horizontal="center"/>
    </xf>
    <xf numFmtId="0" fontId="13" fillId="6" borderId="5" xfId="0" applyFont="1" applyFill="1" applyBorder="1" applyAlignment="1">
      <alignment horizontal="center"/>
    </xf>
    <xf numFmtId="0" fontId="9" fillId="3" borderId="4" xfId="0" applyFont="1" applyFill="1" applyBorder="1"/>
    <xf numFmtId="0" fontId="9" fillId="3" borderId="0" xfId="0" applyFont="1" applyFill="1" applyBorder="1" applyAlignment="1">
      <alignment horizontal="right" vertical="center" wrapText="1"/>
    </xf>
    <xf numFmtId="10" fontId="8" fillId="3" borderId="5" xfId="0" applyNumberFormat="1" applyFont="1" applyFill="1" applyBorder="1" applyAlignment="1">
      <alignment horizontal="left"/>
    </xf>
    <xf numFmtId="164" fontId="13" fillId="6" borderId="4" xfId="0" applyNumberFormat="1" applyFont="1" applyFill="1" applyBorder="1" applyAlignment="1">
      <alignment horizontal="center"/>
    </xf>
    <xf numFmtId="1" fontId="13" fillId="6" borderId="5" xfId="0" applyNumberFormat="1" applyFont="1" applyFill="1" applyBorder="1" applyAlignment="1">
      <alignment horizontal="center"/>
    </xf>
    <xf numFmtId="0" fontId="8" fillId="3" borderId="5" xfId="0" applyFont="1" applyFill="1" applyBorder="1" applyAlignment="1">
      <alignment horizontal="left"/>
    </xf>
    <xf numFmtId="0" fontId="9" fillId="3" borderId="6" xfId="0" applyFont="1" applyFill="1" applyBorder="1"/>
    <xf numFmtId="0" fontId="9" fillId="3" borderId="7" xfId="0" applyFont="1" applyFill="1" applyBorder="1" applyAlignment="1">
      <alignment horizontal="center" vertical="center" wrapText="1"/>
    </xf>
    <xf numFmtId="0" fontId="9" fillId="3" borderId="7" xfId="0" applyFont="1" applyFill="1" applyBorder="1" applyAlignment="1">
      <alignment horizontal="right" vertical="center" wrapText="1"/>
    </xf>
    <xf numFmtId="10" fontId="8" fillId="3" borderId="8" xfId="0" applyNumberFormat="1" applyFont="1" applyFill="1" applyBorder="1" applyAlignment="1">
      <alignment horizontal="left"/>
    </xf>
    <xf numFmtId="164" fontId="13" fillId="6" borderId="6" xfId="0" applyNumberFormat="1" applyFont="1" applyFill="1" applyBorder="1" applyAlignment="1">
      <alignment horizontal="center"/>
    </xf>
    <xf numFmtId="1" fontId="13" fillId="6" borderId="8" xfId="0" applyNumberFormat="1" applyFont="1" applyFill="1" applyBorder="1" applyAlignment="1">
      <alignment horizontal="center"/>
    </xf>
    <xf numFmtId="0" fontId="8" fillId="3" borderId="0" xfId="0" applyFont="1" applyFill="1" applyBorder="1"/>
    <xf numFmtId="166" fontId="9" fillId="3" borderId="0" xfId="0" applyNumberFormat="1" applyFont="1" applyFill="1" applyAlignment="1">
      <alignment horizontal="right" vertical="center"/>
    </xf>
    <xf numFmtId="166" fontId="9" fillId="3" borderId="0" xfId="0" applyNumberFormat="1" applyFont="1" applyFill="1" applyAlignment="1">
      <alignment horizontal="center" vertical="center"/>
    </xf>
    <xf numFmtId="0" fontId="8" fillId="4" borderId="4" xfId="0" applyFont="1" applyFill="1" applyBorder="1" applyAlignment="1">
      <alignment wrapText="1"/>
    </xf>
    <xf numFmtId="0" fontId="8" fillId="4" borderId="0" xfId="0" applyFont="1" applyFill="1" applyBorder="1" applyAlignment="1">
      <alignment wrapText="1"/>
    </xf>
    <xf numFmtId="0" fontId="8" fillId="4" borderId="5" xfId="0" applyFont="1" applyFill="1" applyBorder="1" applyAlignment="1">
      <alignment wrapText="1"/>
    </xf>
    <xf numFmtId="0" fontId="12" fillId="4" borderId="4" xfId="0" applyFont="1" applyFill="1" applyBorder="1" applyAlignment="1"/>
    <xf numFmtId="0" fontId="12" fillId="4" borderId="0" xfId="0" applyFont="1" applyFill="1" applyBorder="1" applyAlignment="1"/>
    <xf numFmtId="0" fontId="8" fillId="4" borderId="0" xfId="0" applyFont="1" applyFill="1" applyBorder="1" applyAlignment="1"/>
    <xf numFmtId="0" fontId="8" fillId="4" borderId="5" xfId="0" applyFont="1" applyFill="1" applyBorder="1" applyAlignment="1"/>
    <xf numFmtId="0" fontId="8" fillId="4" borderId="4" xfId="0" applyFont="1" applyFill="1" applyBorder="1" applyAlignment="1">
      <alignment horizontal="center" wrapText="1"/>
    </xf>
    <xf numFmtId="0" fontId="8" fillId="4" borderId="0" xfId="0" applyFont="1" applyFill="1" applyBorder="1" applyAlignment="1">
      <alignment horizontal="center" wrapText="1"/>
    </xf>
    <xf numFmtId="0" fontId="8" fillId="4" borderId="5" xfId="0" applyFont="1" applyFill="1" applyBorder="1" applyAlignment="1">
      <alignment horizontal="center" wrapText="1"/>
    </xf>
    <xf numFmtId="0" fontId="9" fillId="4" borderId="4" xfId="0" applyFont="1" applyFill="1" applyBorder="1" applyAlignment="1">
      <alignment horizontal="left" vertical="center" wrapText="1"/>
    </xf>
    <xf numFmtId="0" fontId="8" fillId="4" borderId="0" xfId="0" applyFont="1" applyFill="1" applyBorder="1" applyAlignment="1">
      <alignment horizontal="right"/>
    </xf>
    <xf numFmtId="10" fontId="8" fillId="4" borderId="0" xfId="0" applyNumberFormat="1" applyFont="1" applyFill="1" applyBorder="1" applyAlignment="1">
      <alignment horizontal="left"/>
    </xf>
    <xf numFmtId="166" fontId="8" fillId="4" borderId="0" xfId="0" applyNumberFormat="1" applyFont="1" applyFill="1" applyBorder="1"/>
    <xf numFmtId="0" fontId="8" fillId="4" borderId="0" xfId="0" applyFont="1" applyFill="1" applyBorder="1" applyAlignment="1">
      <alignment horizontal="center"/>
    </xf>
    <xf numFmtId="0" fontId="8" fillId="4" borderId="5" xfId="0" applyFont="1" applyFill="1" applyBorder="1" applyAlignment="1">
      <alignment horizontal="center"/>
    </xf>
    <xf numFmtId="0" fontId="9" fillId="4" borderId="6" xfId="0" applyFont="1" applyFill="1" applyBorder="1" applyAlignment="1">
      <alignment horizontal="left" vertical="center" wrapText="1"/>
    </xf>
    <xf numFmtId="0" fontId="8" fillId="4" borderId="7" xfId="0" applyFont="1" applyFill="1" applyBorder="1" applyAlignment="1">
      <alignment horizontal="right"/>
    </xf>
    <xf numFmtId="10" fontId="8" fillId="4" borderId="7" xfId="0" applyNumberFormat="1" applyFont="1" applyFill="1" applyBorder="1" applyAlignment="1">
      <alignment horizontal="left"/>
    </xf>
    <xf numFmtId="166" fontId="8" fillId="4" borderId="7" xfId="0" applyNumberFormat="1" applyFont="1" applyFill="1" applyBorder="1"/>
    <xf numFmtId="0" fontId="8" fillId="4" borderId="7"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vertical="top" wrapText="1"/>
    </xf>
    <xf numFmtId="0" fontId="8" fillId="4" borderId="0" xfId="0" applyFont="1" applyFill="1" applyBorder="1" applyAlignment="1">
      <alignment vertical="top" wrapText="1"/>
    </xf>
    <xf numFmtId="0" fontId="8" fillId="4" borderId="5" xfId="0"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Border="1" applyAlignment="1">
      <alignment horizontal="left"/>
    </xf>
    <xf numFmtId="0" fontId="5" fillId="3" borderId="0" xfId="0" applyFont="1" applyFill="1" applyBorder="1" applyAlignment="1">
      <alignment vertical="center"/>
    </xf>
    <xf numFmtId="9" fontId="5" fillId="3" borderId="0" xfId="412" applyFont="1" applyFill="1" applyBorder="1" applyAlignment="1" applyProtection="1">
      <alignment vertical="center"/>
    </xf>
    <xf numFmtId="0" fontId="8" fillId="4" borderId="0" xfId="0" applyFont="1" applyFill="1" applyBorder="1" applyProtection="1"/>
    <xf numFmtId="0" fontId="8" fillId="4" borderId="4" xfId="0" applyFont="1" applyFill="1" applyBorder="1" applyProtection="1"/>
    <xf numFmtId="0" fontId="8" fillId="4" borderId="5" xfId="0" applyFont="1" applyFill="1" applyBorder="1" applyProtection="1"/>
    <xf numFmtId="166" fontId="9" fillId="7" borderId="0" xfId="0" applyNumberFormat="1" applyFont="1" applyFill="1" applyAlignment="1" applyProtection="1">
      <alignment horizontal="right"/>
      <protection locked="0"/>
    </xf>
    <xf numFmtId="0" fontId="13" fillId="8" borderId="3" xfId="0" applyFont="1" applyFill="1" applyBorder="1" applyProtection="1"/>
    <xf numFmtId="0" fontId="13" fillId="8" borderId="7" xfId="0" applyFont="1" applyFill="1" applyBorder="1" applyProtection="1"/>
    <xf numFmtId="0" fontId="13" fillId="8" borderId="4" xfId="0" applyFont="1" applyFill="1" applyBorder="1" applyAlignment="1" applyProtection="1">
      <alignment horizontal="center" vertical="center"/>
    </xf>
    <xf numFmtId="0" fontId="13" fillId="8" borderId="0" xfId="0" applyFont="1" applyFill="1" applyBorder="1" applyAlignment="1" applyProtection="1">
      <alignment horizontal="right"/>
    </xf>
    <xf numFmtId="0" fontId="13" fillId="8" borderId="0" xfId="0" applyFont="1" applyFill="1" applyBorder="1" applyProtection="1"/>
    <xf numFmtId="164" fontId="13" fillId="8" borderId="0" xfId="0" applyNumberFormat="1" applyFont="1" applyFill="1" applyBorder="1" applyAlignment="1" applyProtection="1">
      <alignment horizontal="center"/>
    </xf>
    <xf numFmtId="0" fontId="13" fillId="8" borderId="5" xfId="0" applyFont="1" applyFill="1" applyBorder="1" applyAlignment="1" applyProtection="1">
      <alignment horizontal="center"/>
    </xf>
    <xf numFmtId="166" fontId="13" fillId="8" borderId="0" xfId="0" applyNumberFormat="1" applyFont="1" applyFill="1" applyBorder="1" applyProtection="1"/>
    <xf numFmtId="0" fontId="13" fillId="8" borderId="4" xfId="0" applyFont="1" applyFill="1" applyBorder="1" applyAlignment="1" applyProtection="1">
      <alignment horizontal="center"/>
    </xf>
    <xf numFmtId="0" fontId="13" fillId="8" borderId="6" xfId="0" applyFont="1" applyFill="1" applyBorder="1" applyAlignment="1" applyProtection="1">
      <alignment horizontal="center"/>
    </xf>
    <xf numFmtId="166" fontId="13" fillId="8" borderId="7" xfId="0" applyNumberFormat="1" applyFont="1" applyFill="1" applyBorder="1" applyProtection="1"/>
    <xf numFmtId="164" fontId="13" fillId="8" borderId="7" xfId="0" applyNumberFormat="1" applyFont="1" applyFill="1" applyBorder="1" applyAlignment="1" applyProtection="1">
      <alignment horizontal="center"/>
    </xf>
    <xf numFmtId="0" fontId="13" fillId="8" borderId="5" xfId="0" applyFont="1" applyFill="1" applyBorder="1" applyProtection="1"/>
    <xf numFmtId="1" fontId="9" fillId="2" borderId="2" xfId="0" applyNumberFormat="1" applyFont="1" applyFill="1" applyBorder="1" applyProtection="1">
      <protection locked="0"/>
    </xf>
    <xf numFmtId="0" fontId="12" fillId="3" borderId="1" xfId="0" applyFont="1" applyFill="1" applyBorder="1" applyProtection="1"/>
    <xf numFmtId="0" fontId="13" fillId="8" borderId="0" xfId="0" applyFont="1" applyFill="1" applyBorder="1" applyAlignment="1" applyProtection="1">
      <alignment horizontal="center"/>
    </xf>
    <xf numFmtId="164" fontId="9" fillId="2" borderId="0" xfId="0" applyNumberFormat="1" applyFont="1" applyFill="1" applyBorder="1" applyAlignment="1" applyProtection="1">
      <alignment horizontal="center"/>
      <protection locked="0"/>
    </xf>
    <xf numFmtId="0" fontId="13" fillId="3" borderId="0" xfId="0" applyFont="1" applyFill="1" applyBorder="1" applyProtection="1"/>
    <xf numFmtId="164" fontId="13" fillId="8" borderId="0" xfId="0" applyNumberFormat="1" applyFont="1" applyFill="1" applyBorder="1" applyAlignment="1" applyProtection="1">
      <alignment vertical="center"/>
    </xf>
    <xf numFmtId="164" fontId="9" fillId="8" borderId="0" xfId="0" applyNumberFormat="1" applyFont="1" applyFill="1" applyBorder="1" applyAlignment="1" applyProtection="1"/>
    <xf numFmtId="0" fontId="22" fillId="3" borderId="0" xfId="0" applyFont="1" applyFill="1" applyBorder="1"/>
    <xf numFmtId="0" fontId="5" fillId="3" borderId="0" xfId="0" applyFont="1" applyFill="1" applyBorder="1"/>
    <xf numFmtId="0" fontId="5" fillId="3" borderId="0" xfId="0" applyFont="1" applyFill="1" applyBorder="1" applyAlignment="1"/>
    <xf numFmtId="0" fontId="5" fillId="3" borderId="0" xfId="0" applyFont="1" applyFill="1" applyBorder="1" applyAlignment="1">
      <alignment horizontal="left" wrapText="1"/>
    </xf>
    <xf numFmtId="0" fontId="5" fillId="3" borderId="0" xfId="0" applyFont="1" applyFill="1" applyBorder="1" applyAlignment="1">
      <alignment vertical="top" wrapText="1"/>
    </xf>
    <xf numFmtId="165" fontId="5" fillId="3" borderId="0" xfId="0" applyNumberFormat="1" applyFont="1" applyFill="1" applyBorder="1" applyAlignment="1">
      <alignment vertical="center"/>
    </xf>
    <xf numFmtId="0" fontId="9" fillId="3" borderId="0" xfId="0" applyFont="1" applyFill="1" applyProtection="1"/>
    <xf numFmtId="0" fontId="6" fillId="8" borderId="0" xfId="0" applyFont="1" applyFill="1" applyBorder="1" applyAlignment="1">
      <alignment horizontal="right" vertical="center"/>
    </xf>
    <xf numFmtId="0" fontId="6" fillId="8" borderId="0" xfId="0" applyFont="1" applyFill="1" applyBorder="1" applyAlignment="1">
      <alignment horizontal="left" vertical="center" wrapText="1"/>
    </xf>
    <xf numFmtId="10" fontId="6" fillId="8" borderId="0" xfId="0" applyNumberFormat="1" applyFont="1" applyFill="1" applyBorder="1" applyAlignment="1">
      <alignment horizontal="left" vertical="center"/>
    </xf>
    <xf numFmtId="0" fontId="27" fillId="4" borderId="0" xfId="0" applyFont="1" applyFill="1" applyBorder="1"/>
    <xf numFmtId="0" fontId="21" fillId="4" borderId="0" xfId="0" applyFont="1" applyFill="1" applyBorder="1" applyAlignment="1"/>
    <xf numFmtId="0" fontId="28" fillId="4" borderId="0" xfId="0" applyFont="1" applyFill="1" applyBorder="1"/>
    <xf numFmtId="0" fontId="26" fillId="4" borderId="0" xfId="0" applyFont="1" applyFill="1" applyBorder="1" applyAlignment="1">
      <alignment vertical="justify"/>
    </xf>
    <xf numFmtId="0" fontId="29" fillId="4" borderId="0" xfId="257" applyFont="1" applyFill="1" applyBorder="1" applyProtection="1"/>
    <xf numFmtId="1" fontId="26" fillId="4" borderId="0" xfId="0" applyNumberFormat="1" applyFont="1" applyFill="1" applyBorder="1" applyAlignment="1">
      <alignment horizontal="center"/>
    </xf>
    <xf numFmtId="167" fontId="26" fillId="4" borderId="0" xfId="0" applyNumberFormat="1" applyFont="1" applyFill="1" applyBorder="1" applyAlignment="1">
      <alignment horizontal="left"/>
    </xf>
    <xf numFmtId="0" fontId="27" fillId="4" borderId="0" xfId="0" applyFont="1" applyFill="1" applyBorder="1" applyAlignment="1">
      <alignment horizontal="center" vertical="center" wrapText="1"/>
    </xf>
    <xf numFmtId="0" fontId="26" fillId="4" borderId="0" xfId="0" applyFont="1" applyFill="1" applyBorder="1" applyAlignment="1">
      <alignment horizontal="center" vertical="center"/>
    </xf>
    <xf numFmtId="166" fontId="26" fillId="4" borderId="0" xfId="0" applyNumberFormat="1" applyFont="1" applyFill="1" applyBorder="1" applyAlignment="1">
      <alignment horizontal="center"/>
    </xf>
    <xf numFmtId="0" fontId="26" fillId="4" borderId="0" xfId="0" applyFont="1" applyFill="1" applyBorder="1" applyAlignment="1">
      <alignment horizontal="center" vertical="center" wrapText="1"/>
    </xf>
    <xf numFmtId="14" fontId="26" fillId="4" borderId="0" xfId="0" applyNumberFormat="1" applyFont="1" applyFill="1" applyBorder="1" applyAlignment="1">
      <alignment horizontal="center" vertical="center"/>
    </xf>
    <xf numFmtId="166" fontId="26" fillId="4" borderId="0" xfId="0" applyNumberFormat="1" applyFont="1" applyFill="1" applyBorder="1" applyAlignment="1">
      <alignment horizontal="right" vertical="center"/>
    </xf>
    <xf numFmtId="0" fontId="26" fillId="4" borderId="0" xfId="0" applyFont="1" applyFill="1" applyBorder="1" applyAlignment="1">
      <alignment horizontal="right" vertical="center"/>
    </xf>
    <xf numFmtId="0" fontId="30" fillId="4" borderId="0" xfId="0" applyFont="1" applyFill="1" applyBorder="1"/>
    <xf numFmtId="166" fontId="26" fillId="4" borderId="0" xfId="0" applyNumberFormat="1" applyFont="1" applyFill="1" applyBorder="1" applyAlignment="1">
      <alignment horizontal="left" vertical="center"/>
    </xf>
    <xf numFmtId="11" fontId="26" fillId="4" borderId="0" xfId="0" applyNumberFormat="1" applyFont="1" applyFill="1" applyBorder="1" applyAlignment="1">
      <alignment horizontal="right" vertical="center"/>
    </xf>
    <xf numFmtId="165" fontId="26" fillId="4" borderId="0" xfId="0" applyNumberFormat="1" applyFont="1" applyFill="1" applyBorder="1" applyAlignment="1">
      <alignment horizontal="right" vertical="center"/>
    </xf>
    <xf numFmtId="168" fontId="26" fillId="4" borderId="0" xfId="0" applyNumberFormat="1" applyFont="1" applyFill="1" applyBorder="1" applyAlignment="1">
      <alignment horizontal="right" vertical="center"/>
    </xf>
    <xf numFmtId="0" fontId="26" fillId="4" borderId="0" xfId="0" applyFont="1" applyFill="1" applyBorder="1" applyAlignment="1">
      <alignment horizontal="right"/>
    </xf>
    <xf numFmtId="166" fontId="26" fillId="4" borderId="0" xfId="0" applyNumberFormat="1" applyFont="1" applyFill="1" applyBorder="1" applyAlignment="1">
      <alignment horizontal="left" vertical="justify"/>
    </xf>
    <xf numFmtId="0" fontId="21" fillId="4" borderId="0" xfId="0" applyFont="1" applyFill="1" applyBorder="1" applyAlignment="1">
      <alignment horizontal="left" vertical="justify"/>
    </xf>
    <xf numFmtId="169" fontId="26" fillId="4" borderId="0" xfId="0" applyNumberFormat="1" applyFont="1" applyFill="1" applyBorder="1" applyAlignment="1">
      <alignment horizontal="right"/>
    </xf>
    <xf numFmtId="166" fontId="26" fillId="4" borderId="0" xfId="0" applyNumberFormat="1" applyFont="1" applyFill="1" applyBorder="1" applyAlignment="1">
      <alignment horizontal="center" vertical="justify"/>
    </xf>
    <xf numFmtId="166" fontId="26" fillId="4" borderId="0" xfId="0" applyNumberFormat="1" applyFont="1" applyFill="1" applyBorder="1"/>
    <xf numFmtId="166" fontId="26" fillId="4" borderId="0" xfId="0" applyNumberFormat="1" applyFont="1" applyFill="1" applyBorder="1" applyAlignment="1">
      <alignment horizontal="right"/>
    </xf>
    <xf numFmtId="166" fontId="21" fillId="4" borderId="0" xfId="0" applyNumberFormat="1" applyFont="1" applyFill="1" applyBorder="1" applyAlignment="1">
      <alignment horizontal="left" vertical="justify"/>
    </xf>
    <xf numFmtId="166" fontId="21" fillId="4" borderId="0" xfId="0" applyNumberFormat="1" applyFont="1" applyFill="1" applyBorder="1" applyAlignment="1">
      <alignment horizontal="center" vertical="justify"/>
    </xf>
    <xf numFmtId="0" fontId="26" fillId="4" borderId="0" xfId="0" applyFont="1" applyFill="1" applyBorder="1" applyAlignment="1">
      <alignment horizontal="left"/>
    </xf>
    <xf numFmtId="164" fontId="26" fillId="4" borderId="0" xfId="0" applyNumberFormat="1" applyFont="1" applyFill="1" applyBorder="1" applyAlignment="1">
      <alignment horizontal="center"/>
    </xf>
    <xf numFmtId="164" fontId="26" fillId="4" borderId="0" xfId="0" applyNumberFormat="1" applyFont="1" applyFill="1" applyBorder="1" applyAlignment="1">
      <alignment horizontal="right" vertical="center"/>
    </xf>
    <xf numFmtId="165" fontId="26" fillId="4" borderId="0" xfId="0" applyNumberFormat="1" applyFont="1" applyFill="1" applyBorder="1" applyAlignment="1">
      <alignment horizontal="right"/>
    </xf>
    <xf numFmtId="0" fontId="21" fillId="4" borderId="0" xfId="0" applyFont="1" applyFill="1" applyBorder="1" applyAlignment="1">
      <alignment vertical="justify" wrapText="1"/>
    </xf>
    <xf numFmtId="0" fontId="9" fillId="2" borderId="5"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17" fillId="8" borderId="12" xfId="0" applyFont="1" applyFill="1" applyBorder="1" applyProtection="1"/>
    <xf numFmtId="0" fontId="13" fillId="8" borderId="13" xfId="0" applyFont="1" applyFill="1" applyBorder="1" applyProtection="1"/>
    <xf numFmtId="0" fontId="13" fillId="8" borderId="14" xfId="0" applyFont="1" applyFill="1" applyBorder="1" applyProtection="1"/>
    <xf numFmtId="164" fontId="13" fillId="8" borderId="7" xfId="0" applyNumberFormat="1" applyFont="1" applyFill="1" applyBorder="1" applyAlignment="1" applyProtection="1">
      <alignment vertical="center"/>
    </xf>
    <xf numFmtId="164" fontId="22" fillId="3" borderId="0" xfId="0" applyNumberFormat="1" applyFont="1" applyFill="1" applyBorder="1" applyAlignment="1">
      <alignment horizontal="left"/>
    </xf>
    <xf numFmtId="0" fontId="15" fillId="3" borderId="0" xfId="0" applyFont="1" applyFill="1" applyAlignment="1">
      <alignment vertical="top"/>
    </xf>
    <xf numFmtId="0" fontId="32" fillId="3" borderId="0" xfId="0" applyFont="1" applyFill="1"/>
    <xf numFmtId="0" fontId="9" fillId="2" borderId="0" xfId="0" applyFont="1" applyFill="1" applyBorder="1" applyAlignment="1" applyProtection="1">
      <alignment horizontal="center" vertical="justify"/>
      <protection locked="0"/>
    </xf>
    <xf numFmtId="2" fontId="9" fillId="2" borderId="0" xfId="0" applyNumberFormat="1" applyFont="1" applyFill="1" applyBorder="1" applyAlignment="1" applyProtection="1">
      <alignment horizontal="right" vertical="justify"/>
      <protection locked="0"/>
    </xf>
    <xf numFmtId="1" fontId="9" fillId="2" borderId="0" xfId="0" applyNumberFormat="1" applyFont="1" applyFill="1" applyBorder="1" applyAlignment="1" applyProtection="1">
      <alignment horizontal="right" vertical="justify"/>
      <protection locked="0"/>
    </xf>
    <xf numFmtId="0" fontId="33" fillId="4" borderId="0" xfId="0" applyFont="1" applyFill="1" applyBorder="1"/>
    <xf numFmtId="0" fontId="34" fillId="3" borderId="0" xfId="0" applyFont="1" applyFill="1"/>
    <xf numFmtId="0" fontId="34" fillId="3" borderId="0" xfId="0" applyFont="1" applyFill="1" applyBorder="1" applyAlignment="1">
      <alignment horizontal="center"/>
    </xf>
    <xf numFmtId="164" fontId="34" fillId="3" borderId="0" xfId="0" applyNumberFormat="1" applyFont="1" applyFill="1" applyBorder="1" applyAlignment="1">
      <alignment horizontal="right"/>
    </xf>
    <xf numFmtId="164" fontId="34" fillId="3" borderId="0" xfId="0" applyNumberFormat="1" applyFont="1" applyFill="1" applyBorder="1"/>
    <xf numFmtId="0" fontId="34" fillId="3" borderId="0" xfId="0" applyFont="1" applyFill="1" applyAlignment="1">
      <alignment horizontal="center"/>
    </xf>
    <xf numFmtId="0" fontId="34" fillId="3" borderId="0" xfId="0" applyFont="1" applyFill="1" applyAlignment="1" applyProtection="1">
      <alignment horizontal="center"/>
    </xf>
    <xf numFmtId="0" fontId="34" fillId="3" borderId="0" xfId="0" applyFont="1" applyFill="1" applyBorder="1" applyAlignment="1" applyProtection="1">
      <alignment horizontal="center"/>
    </xf>
    <xf numFmtId="164" fontId="34" fillId="3" borderId="0" xfId="0" applyNumberFormat="1" applyFont="1" applyFill="1" applyBorder="1" applyAlignment="1" applyProtection="1">
      <alignment horizontal="center"/>
      <protection locked="0"/>
    </xf>
    <xf numFmtId="164" fontId="34" fillId="3" borderId="0" xfId="0" applyNumberFormat="1" applyFont="1" applyFill="1" applyProtection="1"/>
    <xf numFmtId="0" fontId="8" fillId="3" borderId="4" xfId="0" applyFont="1" applyFill="1" applyBorder="1" applyAlignment="1" applyProtection="1">
      <alignment horizontal="center" vertical="center"/>
    </xf>
    <xf numFmtId="0" fontId="13" fillId="8" borderId="0" xfId="0" applyFont="1" applyFill="1" applyBorder="1" applyAlignment="1" applyProtection="1">
      <alignment horizontal="right"/>
    </xf>
    <xf numFmtId="0" fontId="13" fillId="8" borderId="0" xfId="0" applyFont="1" applyFill="1" applyBorder="1" applyProtection="1"/>
    <xf numFmtId="0" fontId="26" fillId="4" borderId="0" xfId="0" applyFont="1" applyFill="1" applyBorder="1" applyAlignment="1">
      <alignment horizontal="center" vertical="justify"/>
    </xf>
    <xf numFmtId="0" fontId="21" fillId="4" borderId="0" xfId="0" applyFont="1" applyFill="1" applyBorder="1" applyAlignment="1">
      <alignment horizontal="center" vertical="justify"/>
    </xf>
    <xf numFmtId="0" fontId="26" fillId="4" borderId="0" xfId="0" applyFont="1" applyFill="1" applyBorder="1" applyAlignment="1">
      <alignment horizontal="center"/>
    </xf>
    <xf numFmtId="0" fontId="26" fillId="4" borderId="0" xfId="0" applyFont="1" applyFill="1" applyBorder="1"/>
    <xf numFmtId="0" fontId="9" fillId="3" borderId="0" xfId="0" applyFont="1" applyFill="1" applyAlignment="1">
      <alignment vertical="top" wrapText="1"/>
    </xf>
    <xf numFmtId="0" fontId="8" fillId="0" borderId="0" xfId="0" applyFont="1" applyAlignment="1">
      <alignment wrapText="1"/>
    </xf>
    <xf numFmtId="0" fontId="9" fillId="3" borderId="0" xfId="0" applyFont="1" applyFill="1" applyAlignment="1">
      <alignment vertical="center" wrapText="1"/>
    </xf>
    <xf numFmtId="0" fontId="8" fillId="0" borderId="0" xfId="0" applyFont="1" applyAlignment="1">
      <alignment vertical="center" wrapText="1"/>
    </xf>
    <xf numFmtId="0" fontId="12" fillId="3" borderId="0" xfId="0" applyFont="1" applyFill="1" applyAlignment="1">
      <alignment vertical="center" wrapText="1"/>
    </xf>
    <xf numFmtId="0" fontId="0" fillId="0" borderId="0" xfId="0" applyAlignment="1">
      <alignment vertical="center" wrapText="1"/>
    </xf>
    <xf numFmtId="0" fontId="10" fillId="3" borderId="0" xfId="0" applyFont="1" applyFill="1" applyAlignment="1"/>
    <xf numFmtId="0" fontId="14" fillId="0" borderId="0" xfId="0" applyFont="1" applyAlignment="1"/>
    <xf numFmtId="0" fontId="7" fillId="3" borderId="0" xfId="0" applyFont="1" applyFill="1" applyAlignment="1"/>
    <xf numFmtId="0" fontId="8" fillId="0" borderId="0" xfId="0" applyFont="1" applyAlignment="1"/>
    <xf numFmtId="0" fontId="8" fillId="3" borderId="0" xfId="0" applyFont="1" applyFill="1" applyAlignment="1">
      <alignment vertical="center" wrapText="1"/>
    </xf>
    <xf numFmtId="0" fontId="5" fillId="3" borderId="0" xfId="0" applyFont="1" applyFill="1" applyBorder="1" applyAlignment="1">
      <alignment horizontal="left" wrapText="1"/>
    </xf>
    <xf numFmtId="0" fontId="5" fillId="3" borderId="0" xfId="0" applyFont="1" applyFill="1" applyBorder="1" applyAlignment="1">
      <alignment vertical="top" wrapText="1"/>
    </xf>
    <xf numFmtId="0" fontId="5" fillId="3" borderId="0" xfId="0" applyFont="1" applyFill="1" applyBorder="1" applyAlignment="1">
      <alignment horizontal="left"/>
    </xf>
    <xf numFmtId="0" fontId="22" fillId="3" borderId="0" xfId="0" applyFont="1" applyFill="1" applyBorder="1" applyAlignment="1">
      <alignment horizontal="right"/>
    </xf>
    <xf numFmtId="0" fontId="0" fillId="0" borderId="0" xfId="0" applyAlignment="1">
      <alignment horizontal="right"/>
    </xf>
    <xf numFmtId="0" fontId="5" fillId="3" borderId="0" xfId="0" applyFont="1" applyFill="1" applyBorder="1" applyAlignment="1">
      <alignment horizontal="center"/>
    </xf>
    <xf numFmtId="0" fontId="5" fillId="3" borderId="0" xfId="0" applyFont="1" applyFill="1" applyBorder="1" applyAlignment="1"/>
    <xf numFmtId="0" fontId="6" fillId="8" borderId="0" xfId="0" applyFont="1" applyFill="1" applyBorder="1" applyAlignment="1">
      <alignment horizont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top" wrapText="1"/>
    </xf>
    <xf numFmtId="0" fontId="13" fillId="3" borderId="0" xfId="0" applyFont="1" applyFill="1" applyBorder="1" applyAlignment="1" applyProtection="1">
      <alignment vertical="top" wrapText="1"/>
    </xf>
    <xf numFmtId="0" fontId="13" fillId="3" borderId="0" xfId="0" applyFont="1" applyFill="1" applyBorder="1" applyAlignment="1" applyProtection="1">
      <alignment vertical="center" wrapText="1"/>
    </xf>
    <xf numFmtId="0" fontId="13" fillId="8" borderId="0" xfId="0" applyFont="1" applyFill="1" applyBorder="1" applyAlignment="1" applyProtection="1">
      <alignment horizontal="right"/>
    </xf>
    <xf numFmtId="0" fontId="13" fillId="8" borderId="0" xfId="0" applyFont="1" applyFill="1" applyBorder="1" applyProtection="1"/>
    <xf numFmtId="0" fontId="13" fillId="3" borderId="0" xfId="0" applyFont="1" applyFill="1" applyBorder="1" applyAlignment="1" applyProtection="1">
      <alignment horizontal="center" vertical="center"/>
    </xf>
    <xf numFmtId="0" fontId="13" fillId="3" borderId="0" xfId="0" applyFont="1" applyFill="1" applyBorder="1" applyAlignment="1" applyProtection="1">
      <alignment horizontal="left" wrapText="1"/>
    </xf>
    <xf numFmtId="164" fontId="13" fillId="3" borderId="0" xfId="0" applyNumberFormat="1" applyFont="1" applyFill="1" applyBorder="1" applyAlignment="1" applyProtection="1">
      <alignment vertical="center" wrapText="1"/>
    </xf>
    <xf numFmtId="0" fontId="8" fillId="3" borderId="2" xfId="0" applyFont="1" applyFill="1" applyBorder="1" applyAlignment="1" applyProtection="1">
      <alignment horizontal="right"/>
    </xf>
    <xf numFmtId="0" fontId="8" fillId="0" borderId="2" xfId="0" applyFont="1" applyBorder="1" applyProtection="1"/>
    <xf numFmtId="0" fontId="8" fillId="3" borderId="4"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2"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164" fontId="8" fillId="3" borderId="0" xfId="0" applyNumberFormat="1" applyFont="1" applyFill="1" applyBorder="1" applyAlignment="1" applyProtection="1">
      <alignment vertical="center" wrapText="1"/>
    </xf>
    <xf numFmtId="164" fontId="8" fillId="3" borderId="7" xfId="0" applyNumberFormat="1" applyFont="1" applyFill="1" applyBorder="1" applyAlignment="1" applyProtection="1">
      <alignment vertical="center" wrapText="1"/>
    </xf>
    <xf numFmtId="0" fontId="8" fillId="3" borderId="5" xfId="0" applyFont="1" applyFill="1" applyBorder="1" applyAlignment="1" applyProtection="1">
      <alignment vertical="center" wrapText="1"/>
    </xf>
    <xf numFmtId="0" fontId="8" fillId="3" borderId="8" xfId="0" applyFont="1" applyFill="1" applyBorder="1" applyAlignment="1" applyProtection="1">
      <alignment vertical="center" wrapText="1"/>
    </xf>
    <xf numFmtId="0" fontId="8" fillId="4" borderId="4" xfId="0" applyFont="1" applyFill="1" applyBorder="1" applyAlignment="1">
      <alignment vertical="top"/>
    </xf>
    <xf numFmtId="0" fontId="8" fillId="0" borderId="0" xfId="0" applyFont="1" applyAlignment="1">
      <alignment vertical="top"/>
    </xf>
    <xf numFmtId="0" fontId="8" fillId="3" borderId="1"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3" borderId="2" xfId="0" applyFont="1" applyFill="1" applyBorder="1" applyAlignment="1" applyProtection="1">
      <alignment horizontal="right" wrapText="1"/>
    </xf>
    <xf numFmtId="0" fontId="8" fillId="0" borderId="2" xfId="0" applyFont="1" applyBorder="1" applyAlignment="1" applyProtection="1">
      <alignment wrapText="1"/>
    </xf>
    <xf numFmtId="0" fontId="8" fillId="0" borderId="0" xfId="0" applyFont="1" applyBorder="1" applyAlignment="1" applyProtection="1">
      <alignment wrapText="1"/>
    </xf>
    <xf numFmtId="164" fontId="8" fillId="3" borderId="2" xfId="0" applyNumberFormat="1" applyFont="1" applyFill="1" applyBorder="1" applyAlignment="1" applyProtection="1">
      <alignment vertical="center" wrapText="1"/>
    </xf>
    <xf numFmtId="164" fontId="8" fillId="0" borderId="0" xfId="0" applyNumberFormat="1" applyFont="1" applyBorder="1" applyAlignment="1" applyProtection="1">
      <alignment vertical="center" wrapText="1"/>
    </xf>
    <xf numFmtId="0" fontId="8" fillId="3" borderId="3" xfId="0" applyFont="1" applyFill="1" applyBorder="1" applyAlignment="1" applyProtection="1">
      <alignment vertical="center" wrapText="1"/>
    </xf>
    <xf numFmtId="0" fontId="8" fillId="0" borderId="5" xfId="0" applyFont="1" applyBorder="1" applyAlignment="1" applyProtection="1">
      <alignment vertical="center" wrapText="1"/>
    </xf>
    <xf numFmtId="0" fontId="13" fillId="8" borderId="5" xfId="0" applyFont="1" applyFill="1" applyBorder="1" applyAlignment="1" applyProtection="1">
      <alignment vertical="center" wrapText="1"/>
    </xf>
    <xf numFmtId="0" fontId="13" fillId="8" borderId="8" xfId="0" applyFont="1" applyFill="1" applyBorder="1" applyAlignment="1" applyProtection="1">
      <alignment vertical="center" wrapText="1"/>
    </xf>
    <xf numFmtId="0" fontId="13" fillId="8" borderId="2" xfId="0" applyFont="1" applyFill="1" applyBorder="1" applyAlignment="1" applyProtection="1">
      <alignment horizontal="righ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13" fillId="8" borderId="1" xfId="0" applyFont="1" applyFill="1" applyBorder="1" applyAlignment="1" applyProtection="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2" xfId="0" applyFont="1" applyFill="1" applyBorder="1" applyAlignment="1" applyProtection="1">
      <alignment horizontal="left" vertical="top" wrapText="1"/>
    </xf>
    <xf numFmtId="0" fontId="8" fillId="3" borderId="3"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2" xfId="0" applyFont="1" applyFill="1" applyBorder="1" applyAlignment="1" applyProtection="1">
      <alignment vertical="top" wrapText="1"/>
    </xf>
    <xf numFmtId="0" fontId="8" fillId="3" borderId="0" xfId="0" applyFont="1" applyFill="1" applyBorder="1" applyAlignment="1" applyProtection="1">
      <alignment vertical="top" wrapText="1"/>
    </xf>
    <xf numFmtId="0" fontId="8" fillId="3" borderId="7" xfId="0" applyFont="1" applyFill="1" applyBorder="1" applyAlignment="1" applyProtection="1">
      <alignment vertical="top" wrapText="1"/>
    </xf>
    <xf numFmtId="0" fontId="8" fillId="3" borderId="2"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7" xfId="0" applyFont="1" applyFill="1" applyBorder="1" applyAlignment="1" applyProtection="1">
      <alignment vertical="center" wrapText="1"/>
    </xf>
    <xf numFmtId="0" fontId="12" fillId="4" borderId="1" xfId="0" applyFont="1" applyFill="1" applyBorder="1" applyAlignment="1" applyProtection="1">
      <alignment wrapText="1"/>
    </xf>
    <xf numFmtId="0" fontId="0" fillId="4" borderId="2"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11" fillId="4" borderId="4" xfId="0" applyFont="1" applyFill="1" applyBorder="1" applyAlignment="1">
      <alignment vertical="top" wrapText="1"/>
    </xf>
    <xf numFmtId="0" fontId="8" fillId="4" borderId="0" xfId="0" applyFont="1" applyFill="1" applyBorder="1" applyAlignment="1">
      <alignment vertical="top" wrapText="1"/>
    </xf>
    <xf numFmtId="0" fontId="8" fillId="4" borderId="5" xfId="0" applyFont="1" applyFill="1" applyBorder="1" applyAlignment="1">
      <alignment vertical="top" wrapText="1"/>
    </xf>
    <xf numFmtId="0" fontId="8" fillId="4" borderId="4" xfId="0" applyFont="1" applyFill="1" applyBorder="1" applyAlignment="1">
      <alignment vertical="top" wrapText="1"/>
    </xf>
    <xf numFmtId="0" fontId="8" fillId="4" borderId="0" xfId="0" applyFont="1" applyFill="1" applyBorder="1" applyAlignment="1">
      <alignment horizontal="center" wrapText="1"/>
    </xf>
    <xf numFmtId="0" fontId="12" fillId="4" borderId="4" xfId="0" applyFont="1" applyFill="1" applyBorder="1" applyAlignment="1">
      <alignment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34" fillId="3" borderId="0" xfId="0" applyFont="1" applyFill="1" applyBorder="1" applyAlignment="1">
      <alignment horizontal="center"/>
    </xf>
    <xf numFmtId="0" fontId="34" fillId="0" borderId="0" xfId="0" applyFont="1" applyBorder="1" applyAlignment="1">
      <alignment horizontal="center"/>
    </xf>
    <xf numFmtId="0" fontId="9" fillId="3" borderId="0" xfId="0" applyFont="1" applyFill="1" applyBorder="1" applyAlignment="1">
      <alignment horizontal="center" vertical="center"/>
    </xf>
    <xf numFmtId="0" fontId="8" fillId="0" borderId="5" xfId="0" applyFont="1" applyBorder="1" applyAlignment="1">
      <alignment horizontal="center"/>
    </xf>
    <xf numFmtId="0" fontId="9" fillId="3" borderId="9" xfId="0" applyFont="1" applyFill="1" applyBorder="1" applyAlignment="1">
      <alignment horizontal="center" wrapText="1"/>
    </xf>
    <xf numFmtId="0" fontId="8" fillId="0" borderId="10" xfId="0" applyFont="1" applyBorder="1" applyAlignment="1">
      <alignment horizontal="center" wrapText="1"/>
    </xf>
    <xf numFmtId="0" fontId="9" fillId="3" borderId="1" xfId="0" applyFont="1" applyFill="1" applyBorder="1" applyAlignment="1">
      <alignment horizontal="center"/>
    </xf>
    <xf numFmtId="0" fontId="8" fillId="0" borderId="3" xfId="0" applyFont="1" applyBorder="1" applyAlignment="1">
      <alignment horizontal="center"/>
    </xf>
    <xf numFmtId="0" fontId="17" fillId="6" borderId="1" xfId="0" applyFont="1" applyFill="1" applyBorder="1" applyAlignment="1">
      <alignment horizontal="center"/>
    </xf>
    <xf numFmtId="0" fontId="12" fillId="0" borderId="3" xfId="0" applyFont="1" applyBorder="1" applyAlignment="1"/>
    <xf numFmtId="0" fontId="11" fillId="4" borderId="1" xfId="0" applyFont="1" applyFill="1" applyBorder="1" applyAlignment="1">
      <alignment vertical="top" wrapText="1"/>
    </xf>
    <xf numFmtId="0" fontId="8" fillId="4" borderId="2" xfId="0" applyFont="1" applyFill="1" applyBorder="1" applyAlignment="1">
      <alignment vertical="top" wrapText="1"/>
    </xf>
    <xf numFmtId="0" fontId="8" fillId="4" borderId="3" xfId="0" applyFont="1" applyFill="1" applyBorder="1" applyAlignment="1">
      <alignment vertical="top" wrapText="1"/>
    </xf>
    <xf numFmtId="0" fontId="26" fillId="4" borderId="0" xfId="0" applyFont="1" applyFill="1" applyBorder="1" applyAlignment="1">
      <alignment horizontal="center" vertical="justify"/>
    </xf>
    <xf numFmtId="0" fontId="21" fillId="4" borderId="0" xfId="0" applyFont="1" applyFill="1" applyBorder="1" applyAlignment="1">
      <alignment horizontal="center" vertical="justify"/>
    </xf>
    <xf numFmtId="0" fontId="26" fillId="4" borderId="0" xfId="0" applyFont="1" applyFill="1" applyBorder="1" applyAlignment="1">
      <alignment horizontal="center"/>
    </xf>
    <xf numFmtId="0" fontId="21" fillId="4" borderId="0" xfId="0" applyFont="1" applyFill="1" applyBorder="1" applyAlignment="1">
      <alignment horizontal="center"/>
    </xf>
    <xf numFmtId="0" fontId="26" fillId="4" borderId="0" xfId="0" applyFont="1" applyFill="1" applyBorder="1"/>
    <xf numFmtId="0" fontId="26" fillId="4" borderId="0" xfId="0" applyFont="1" applyFill="1" applyBorder="1" applyAlignment="1">
      <alignment vertical="top" wrapText="1"/>
    </xf>
    <xf numFmtId="0" fontId="21" fillId="4" borderId="0" xfId="0" applyFont="1" applyFill="1" applyBorder="1" applyAlignment="1">
      <alignment vertical="top" wrapText="1"/>
    </xf>
    <xf numFmtId="0" fontId="21" fillId="4" borderId="0" xfId="0" applyFont="1" applyFill="1" applyAlignment="1">
      <alignment wrapText="1"/>
    </xf>
    <xf numFmtId="0" fontId="13" fillId="3" borderId="0" xfId="0" applyFont="1" applyFill="1" applyProtection="1"/>
    <xf numFmtId="0" fontId="34" fillId="3" borderId="0" xfId="0" applyFont="1" applyFill="1" applyProtection="1"/>
    <xf numFmtId="0" fontId="11" fillId="3" borderId="0" xfId="0" applyFont="1" applyFill="1" applyAlignment="1">
      <alignment vertical="top" wrapText="1"/>
    </xf>
  </cellXfs>
  <cellStyles count="7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cellStyle name="Normal" xfId="0" builtinId="0"/>
    <cellStyle name="Percent" xfId="41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AH73"/>
  <sheetViews>
    <sheetView windowProtection="1" tabSelected="1" zoomScale="150" zoomScaleNormal="150" zoomScalePageLayoutView="150" workbookViewId="0">
      <selection activeCell="C28" sqref="C28"/>
    </sheetView>
  </sheetViews>
  <sheetFormatPr baseColWidth="10" defaultColWidth="10.625" defaultRowHeight="16" x14ac:dyDescent="0"/>
  <cols>
    <col min="1" max="1" width="23" style="3" customWidth="1"/>
    <col min="2" max="2" width="3.25" style="3" bestFit="1" customWidth="1"/>
    <col min="3" max="3" width="18" style="3" customWidth="1"/>
    <col min="4" max="26" width="10.625" style="3"/>
    <col min="27" max="32" width="10.625" style="3" customWidth="1"/>
    <col min="33" max="33" width="9" style="3" customWidth="1"/>
    <col min="34" max="34" width="13.375" style="3" customWidth="1"/>
    <col min="35" max="16384" width="10.625" style="3"/>
  </cols>
  <sheetData>
    <row r="1" spans="1:7" ht="25">
      <c r="A1" s="240" t="s">
        <v>35</v>
      </c>
      <c r="B1" s="241"/>
      <c r="C1" s="241"/>
      <c r="D1" s="241"/>
      <c r="E1" s="241"/>
      <c r="F1" s="241"/>
      <c r="G1" s="241"/>
    </row>
    <row r="2" spans="1:7">
      <c r="A2" s="238" t="s">
        <v>157</v>
      </c>
      <c r="B2" s="239"/>
      <c r="C2" s="239"/>
      <c r="D2" s="239"/>
      <c r="E2" s="239"/>
      <c r="F2" s="239"/>
      <c r="G2" s="239"/>
    </row>
    <row r="3" spans="1:7">
      <c r="A3" s="211" t="s">
        <v>218</v>
      </c>
    </row>
    <row r="4" spans="1:7">
      <c r="A4" s="211"/>
    </row>
    <row r="5" spans="1:7">
      <c r="A5" s="234" t="s">
        <v>178</v>
      </c>
      <c r="B5" s="235"/>
      <c r="C5" s="235"/>
      <c r="D5" s="235"/>
      <c r="E5" s="235"/>
      <c r="F5" s="235"/>
      <c r="G5" s="235"/>
    </row>
    <row r="6" spans="1:7">
      <c r="A6" s="235"/>
      <c r="B6" s="235"/>
      <c r="C6" s="235"/>
      <c r="D6" s="235"/>
      <c r="E6" s="235"/>
      <c r="F6" s="235"/>
      <c r="G6" s="235"/>
    </row>
    <row r="7" spans="1:7">
      <c r="A7" s="5"/>
      <c r="B7" s="5"/>
      <c r="C7" s="5"/>
      <c r="D7" s="5"/>
      <c r="E7" s="5"/>
      <c r="F7" s="5"/>
      <c r="G7" s="5"/>
    </row>
    <row r="8" spans="1:7">
      <c r="A8" s="236" t="s">
        <v>223</v>
      </c>
      <c r="B8" s="237"/>
      <c r="C8" s="237"/>
      <c r="D8" s="237"/>
      <c r="E8" s="237"/>
      <c r="F8" s="237"/>
      <c r="G8" s="237"/>
    </row>
    <row r="9" spans="1:7">
      <c r="A9" s="237"/>
      <c r="B9" s="237"/>
      <c r="C9" s="237"/>
      <c r="D9" s="237"/>
      <c r="E9" s="237"/>
      <c r="F9" s="237"/>
      <c r="G9" s="237"/>
    </row>
    <row r="11" spans="1:7">
      <c r="A11" s="234" t="s">
        <v>179</v>
      </c>
      <c r="B11" s="235"/>
      <c r="C11" s="235"/>
      <c r="D11" s="235"/>
      <c r="E11" s="235"/>
      <c r="F11" s="235"/>
      <c r="G11" s="235"/>
    </row>
    <row r="12" spans="1:7">
      <c r="A12" s="235"/>
      <c r="B12" s="235"/>
      <c r="C12" s="235"/>
      <c r="D12" s="235"/>
      <c r="E12" s="235"/>
      <c r="F12" s="235"/>
      <c r="G12" s="235"/>
    </row>
    <row r="13" spans="1:7">
      <c r="A13" s="4"/>
      <c r="B13" s="4"/>
      <c r="C13" s="4"/>
      <c r="D13" s="4"/>
    </row>
    <row r="14" spans="1:7">
      <c r="A14" s="242" t="s">
        <v>180</v>
      </c>
      <c r="B14" s="235"/>
      <c r="C14" s="235"/>
      <c r="D14" s="235"/>
      <c r="E14" s="235"/>
      <c r="F14" s="235"/>
      <c r="G14" s="235"/>
    </row>
    <row r="15" spans="1:7" ht="17" thickBot="1">
      <c r="A15" s="235"/>
      <c r="B15" s="235"/>
      <c r="C15" s="235"/>
      <c r="D15" s="235"/>
      <c r="E15" s="235"/>
      <c r="F15" s="235"/>
      <c r="G15" s="235"/>
    </row>
    <row r="16" spans="1:7">
      <c r="A16" s="6" t="s">
        <v>163</v>
      </c>
      <c r="B16" s="7"/>
      <c r="C16" s="8" t="s">
        <v>115</v>
      </c>
      <c r="D16" s="4"/>
    </row>
    <row r="17" spans="1:27" ht="17" thickBot="1">
      <c r="A17" s="9">
        <v>0</v>
      </c>
      <c r="B17" s="10"/>
      <c r="C17" s="11">
        <f>A17/1000</f>
        <v>0</v>
      </c>
      <c r="D17" s="4"/>
    </row>
    <row r="18" spans="1:27">
      <c r="A18" s="4"/>
      <c r="B18" s="4"/>
      <c r="C18" s="4"/>
      <c r="D18" s="4"/>
    </row>
    <row r="19" spans="1:27">
      <c r="A19" s="232" t="s">
        <v>217</v>
      </c>
      <c r="B19" s="233"/>
      <c r="C19" s="233"/>
      <c r="D19" s="233"/>
      <c r="E19" s="233"/>
      <c r="F19" s="233"/>
      <c r="G19" s="233"/>
    </row>
    <row r="20" spans="1:27">
      <c r="A20" s="233"/>
      <c r="B20" s="233"/>
      <c r="C20" s="233"/>
      <c r="D20" s="233"/>
      <c r="E20" s="233"/>
      <c r="F20" s="233"/>
      <c r="G20" s="233"/>
    </row>
    <row r="21" spans="1:27">
      <c r="A21" s="12"/>
      <c r="B21" s="12"/>
      <c r="C21" s="12"/>
      <c r="D21" s="12"/>
    </row>
    <row r="22" spans="1:27">
      <c r="A22" s="234" t="s">
        <v>181</v>
      </c>
      <c r="B22" s="235"/>
      <c r="C22" s="235"/>
      <c r="D22" s="235"/>
      <c r="E22" s="235"/>
      <c r="F22" s="235"/>
      <c r="G22" s="235"/>
    </row>
    <row r="23" spans="1:27">
      <c r="A23" s="235"/>
      <c r="B23" s="235"/>
      <c r="C23" s="235"/>
      <c r="D23" s="235"/>
      <c r="E23" s="235"/>
      <c r="F23" s="235"/>
      <c r="G23" s="235"/>
    </row>
    <row r="24" spans="1:27">
      <c r="A24" s="235"/>
      <c r="B24" s="235"/>
      <c r="C24" s="235"/>
      <c r="D24" s="235"/>
      <c r="E24" s="235"/>
      <c r="F24" s="235"/>
      <c r="G24" s="235"/>
    </row>
    <row r="25" spans="1:27">
      <c r="A25" s="4"/>
      <c r="B25" s="4"/>
      <c r="C25" s="4"/>
      <c r="D25" s="4"/>
    </row>
    <row r="26" spans="1:27">
      <c r="A26" s="13" t="s">
        <v>143</v>
      </c>
      <c r="B26" s="14"/>
      <c r="C26" s="14"/>
      <c r="D26" s="14"/>
      <c r="E26" s="15"/>
      <c r="F26" s="16"/>
      <c r="G26" s="16"/>
      <c r="H26" s="16"/>
      <c r="I26" s="16"/>
      <c r="J26" s="16"/>
      <c r="K26" s="15"/>
    </row>
    <row r="27" spans="1:27">
      <c r="A27" s="3" t="s">
        <v>162</v>
      </c>
      <c r="C27" s="212" t="s">
        <v>155</v>
      </c>
      <c r="E27" s="12"/>
      <c r="F27" s="17"/>
      <c r="G27" s="17"/>
      <c r="H27" s="17"/>
      <c r="I27" s="17"/>
      <c r="J27" s="17"/>
      <c r="K27" s="17"/>
    </row>
    <row r="28" spans="1:27">
      <c r="A28" s="18" t="s">
        <v>166</v>
      </c>
      <c r="B28" s="18"/>
      <c r="C28" s="213">
        <v>0</v>
      </c>
      <c r="D28" s="3" t="s">
        <v>126</v>
      </c>
      <c r="E28" s="17"/>
      <c r="F28" s="17"/>
      <c r="G28" s="17"/>
      <c r="H28" s="17"/>
      <c r="I28" s="17"/>
      <c r="J28" s="17"/>
      <c r="K28" s="17"/>
    </row>
    <row r="29" spans="1:27">
      <c r="A29" s="19" t="s">
        <v>174</v>
      </c>
      <c r="B29" s="18"/>
      <c r="C29" s="214">
        <v>0</v>
      </c>
      <c r="D29" s="3" t="s">
        <v>125</v>
      </c>
      <c r="E29" s="17"/>
      <c r="F29" s="17"/>
      <c r="G29" s="17"/>
      <c r="H29" s="17"/>
      <c r="I29" s="17"/>
      <c r="J29" s="17"/>
      <c r="K29" s="17"/>
    </row>
    <row r="30" spans="1:27">
      <c r="E30" s="17"/>
      <c r="F30" s="17"/>
      <c r="G30" s="17"/>
      <c r="H30" s="17"/>
      <c r="I30" s="17"/>
      <c r="J30" s="17"/>
      <c r="K30" s="17"/>
    </row>
    <row r="31" spans="1:27">
      <c r="A31" s="20" t="s">
        <v>99</v>
      </c>
      <c r="B31" s="21"/>
      <c r="C31" s="139">
        <v>0</v>
      </c>
      <c r="D31" s="22" t="s">
        <v>100</v>
      </c>
      <c r="AA31" s="13" t="s">
        <v>139</v>
      </c>
    </row>
    <row r="32" spans="1:27">
      <c r="A32" s="20" t="s">
        <v>101</v>
      </c>
      <c r="B32" s="21"/>
      <c r="C32" s="139">
        <v>0</v>
      </c>
      <c r="D32" s="23" t="s">
        <v>102</v>
      </c>
      <c r="AA32" s="24">
        <f>Admin!G85/1000</f>
        <v>0</v>
      </c>
    </row>
    <row r="33" spans="1:34">
      <c r="A33" s="20" t="s">
        <v>103</v>
      </c>
      <c r="B33" s="21"/>
      <c r="C33" s="139">
        <v>0</v>
      </c>
      <c r="D33" s="20" t="s">
        <v>104</v>
      </c>
      <c r="AA33" s="25" t="s">
        <v>140</v>
      </c>
      <c r="AB33" s="13" t="s">
        <v>138</v>
      </c>
      <c r="AC33" s="13" t="s">
        <v>141</v>
      </c>
    </row>
    <row r="34" spans="1:34">
      <c r="A34" s="3" t="s">
        <v>64</v>
      </c>
      <c r="B34" s="26" t="s">
        <v>0</v>
      </c>
      <c r="C34" s="139">
        <v>0</v>
      </c>
      <c r="D34" s="22" t="s">
        <v>115</v>
      </c>
      <c r="AA34" s="27">
        <f>Admin!G10</f>
        <v>0</v>
      </c>
      <c r="AB34" s="28" t="e">
        <f>Admin!H10</f>
        <v>#DIV/0!</v>
      </c>
      <c r="AC34" s="29" t="s">
        <v>152</v>
      </c>
      <c r="AD34" s="30"/>
      <c r="AE34" s="30"/>
      <c r="AF34" s="30"/>
      <c r="AG34" s="30"/>
      <c r="AH34" s="30"/>
    </row>
    <row r="35" spans="1:34">
      <c r="A35" s="3" t="s">
        <v>65</v>
      </c>
      <c r="B35" s="26" t="s">
        <v>1</v>
      </c>
      <c r="C35" s="139">
        <v>0</v>
      </c>
      <c r="D35" s="22" t="s">
        <v>115</v>
      </c>
      <c r="AA35" s="27">
        <f>Admin!G12</f>
        <v>0</v>
      </c>
      <c r="AB35" s="28" t="e">
        <f>Admin!H12</f>
        <v>#DIV/0!</v>
      </c>
      <c r="AC35" s="29" t="s">
        <v>152</v>
      </c>
      <c r="AD35" s="30"/>
      <c r="AE35" s="30"/>
      <c r="AF35" s="30"/>
      <c r="AG35" s="30"/>
      <c r="AH35" s="30"/>
    </row>
    <row r="36" spans="1:34">
      <c r="A36" s="3" t="s">
        <v>66</v>
      </c>
      <c r="B36" s="26" t="s">
        <v>2</v>
      </c>
      <c r="C36" s="139">
        <v>0</v>
      </c>
      <c r="D36" s="22" t="s">
        <v>115</v>
      </c>
      <c r="AA36" s="27">
        <f>Admin!G14</f>
        <v>0</v>
      </c>
      <c r="AB36" s="31" t="e">
        <f>Admin!H14</f>
        <v>#DIV/0!</v>
      </c>
      <c r="AC36" s="32" t="s">
        <v>145</v>
      </c>
    </row>
    <row r="37" spans="1:34">
      <c r="A37" s="3" t="s">
        <v>67</v>
      </c>
      <c r="B37" s="26" t="s">
        <v>3</v>
      </c>
      <c r="C37" s="139">
        <v>0</v>
      </c>
      <c r="D37" s="22" t="s">
        <v>115</v>
      </c>
      <c r="AA37" s="27">
        <f>Admin!G16</f>
        <v>0</v>
      </c>
      <c r="AB37" s="31" t="e">
        <f>Admin!H16</f>
        <v>#DIV/0!</v>
      </c>
      <c r="AC37" s="32" t="s">
        <v>220</v>
      </c>
    </row>
    <row r="38" spans="1:34">
      <c r="A38" s="3" t="s">
        <v>68</v>
      </c>
      <c r="B38" s="26" t="s">
        <v>4</v>
      </c>
      <c r="C38" s="139">
        <v>0</v>
      </c>
      <c r="D38" s="22" t="s">
        <v>115</v>
      </c>
      <c r="AA38" s="27">
        <f>Admin!G18</f>
        <v>0</v>
      </c>
      <c r="AB38" s="28" t="e">
        <f>Admin!H18</f>
        <v>#DIV/0!</v>
      </c>
      <c r="AC38" s="29" t="s">
        <v>152</v>
      </c>
      <c r="AD38" s="30"/>
      <c r="AE38" s="30"/>
      <c r="AF38" s="30"/>
      <c r="AG38" s="30"/>
      <c r="AH38" s="30"/>
    </row>
    <row r="39" spans="1:34">
      <c r="A39" s="3" t="s">
        <v>69</v>
      </c>
      <c r="B39" s="26" t="s">
        <v>5</v>
      </c>
      <c r="C39" s="139">
        <v>0</v>
      </c>
      <c r="D39" s="22" t="s">
        <v>115</v>
      </c>
      <c r="AA39" s="27">
        <f>Admin!G20</f>
        <v>0</v>
      </c>
      <c r="AB39" s="28" t="e">
        <f>Admin!H20</f>
        <v>#DIV/0!</v>
      </c>
      <c r="AC39" s="29" t="s">
        <v>152</v>
      </c>
      <c r="AD39" s="30"/>
      <c r="AE39" s="30"/>
      <c r="AF39" s="30"/>
      <c r="AG39" s="30"/>
      <c r="AH39" s="30"/>
    </row>
    <row r="40" spans="1:34">
      <c r="A40" s="3" t="s">
        <v>70</v>
      </c>
      <c r="B40" s="26" t="s">
        <v>6</v>
      </c>
      <c r="C40" s="139">
        <v>0</v>
      </c>
      <c r="D40" s="22" t="s">
        <v>115</v>
      </c>
      <c r="AA40" s="27">
        <f>Admin!G22</f>
        <v>0</v>
      </c>
      <c r="AB40" s="31" t="e">
        <f>Admin!H22</f>
        <v>#DIV/0!</v>
      </c>
      <c r="AC40" s="3" t="s">
        <v>153</v>
      </c>
    </row>
    <row r="41" spans="1:34">
      <c r="A41" s="3" t="s">
        <v>71</v>
      </c>
      <c r="B41" s="26" t="s">
        <v>7</v>
      </c>
      <c r="C41" s="139">
        <v>0</v>
      </c>
      <c r="D41" s="22" t="s">
        <v>115</v>
      </c>
      <c r="AA41" s="27">
        <f>Admin!G24</f>
        <v>0</v>
      </c>
      <c r="AB41" s="31" t="e">
        <f>Admin!H24</f>
        <v>#DIV/0!</v>
      </c>
      <c r="AC41" s="3" t="s">
        <v>146</v>
      </c>
    </row>
    <row r="42" spans="1:34">
      <c r="A42" s="3" t="s">
        <v>113</v>
      </c>
      <c r="B42" s="26" t="s">
        <v>8</v>
      </c>
      <c r="C42" s="139">
        <v>0</v>
      </c>
      <c r="D42" s="22" t="s">
        <v>115</v>
      </c>
      <c r="AA42" s="27">
        <f>Admin!G26</f>
        <v>0</v>
      </c>
      <c r="AB42" s="28" t="e">
        <f>Admin!H26</f>
        <v>#DIV/0!</v>
      </c>
      <c r="AC42" s="29" t="s">
        <v>152</v>
      </c>
      <c r="AD42" s="30"/>
      <c r="AE42" s="30"/>
      <c r="AF42" s="30"/>
      <c r="AG42" s="30"/>
      <c r="AH42" s="30"/>
    </row>
    <row r="43" spans="1:34">
      <c r="A43" s="3" t="s">
        <v>72</v>
      </c>
      <c r="B43" s="26" t="s">
        <v>9</v>
      </c>
      <c r="C43" s="139">
        <v>0</v>
      </c>
      <c r="D43" s="22" t="s">
        <v>115</v>
      </c>
      <c r="AA43" s="27">
        <f>Admin!G28</f>
        <v>0</v>
      </c>
      <c r="AB43" s="31" t="e">
        <f>Admin!H28</f>
        <v>#DIV/0!</v>
      </c>
      <c r="AC43" s="3" t="s">
        <v>147</v>
      </c>
    </row>
    <row r="44" spans="1:34">
      <c r="A44" s="3" t="s">
        <v>73</v>
      </c>
      <c r="B44" s="26" t="s">
        <v>10</v>
      </c>
      <c r="C44" s="139">
        <v>0</v>
      </c>
      <c r="D44" s="22" t="s">
        <v>115</v>
      </c>
      <c r="AA44" s="27">
        <f>Admin!G30</f>
        <v>0</v>
      </c>
      <c r="AB44" s="31" t="e">
        <f>Admin!H30</f>
        <v>#DIV/0!</v>
      </c>
      <c r="AC44" s="3" t="s">
        <v>144</v>
      </c>
    </row>
    <row r="45" spans="1:34">
      <c r="A45" s="3" t="s">
        <v>74</v>
      </c>
      <c r="B45" s="26" t="s">
        <v>11</v>
      </c>
      <c r="C45" s="139">
        <v>0</v>
      </c>
      <c r="D45" s="22" t="s">
        <v>115</v>
      </c>
      <c r="AA45" s="27">
        <f>Admin!G32</f>
        <v>0</v>
      </c>
      <c r="AB45" s="31" t="e">
        <f>Admin!H32</f>
        <v>#DIV/0!</v>
      </c>
      <c r="AC45" s="3" t="s">
        <v>154</v>
      </c>
    </row>
    <row r="46" spans="1:34">
      <c r="A46" s="3" t="s">
        <v>75</v>
      </c>
      <c r="B46" s="26" t="s">
        <v>12</v>
      </c>
      <c r="C46" s="139">
        <v>0</v>
      </c>
      <c r="D46" s="22" t="s">
        <v>115</v>
      </c>
      <c r="AA46" s="27">
        <f>Admin!G34</f>
        <v>0</v>
      </c>
      <c r="AB46" s="28" t="e">
        <f>Admin!H34</f>
        <v>#DIV/0!</v>
      </c>
      <c r="AC46" s="29" t="s">
        <v>152</v>
      </c>
      <c r="AD46" s="30"/>
      <c r="AE46" s="30"/>
      <c r="AF46" s="30"/>
      <c r="AG46" s="30"/>
      <c r="AH46" s="30"/>
    </row>
    <row r="47" spans="1:34">
      <c r="A47" s="3" t="s">
        <v>76</v>
      </c>
      <c r="B47" s="26" t="s">
        <v>13</v>
      </c>
      <c r="C47" s="139">
        <v>0</v>
      </c>
      <c r="D47" s="22" t="s">
        <v>115</v>
      </c>
      <c r="AA47" s="27">
        <f>Admin!G36</f>
        <v>0</v>
      </c>
      <c r="AB47" s="31" t="e">
        <f>Admin!H36</f>
        <v>#DIV/0!</v>
      </c>
      <c r="AC47" s="3" t="s">
        <v>144</v>
      </c>
    </row>
    <row r="48" spans="1:34">
      <c r="A48" s="3" t="s">
        <v>77</v>
      </c>
      <c r="B48" s="26" t="s">
        <v>58</v>
      </c>
      <c r="C48" s="139">
        <v>0</v>
      </c>
      <c r="D48" s="22" t="s">
        <v>115</v>
      </c>
      <c r="AA48" s="27">
        <f>Admin!G38</f>
        <v>0</v>
      </c>
      <c r="AB48" s="31" t="e">
        <f>Admin!H38</f>
        <v>#DIV/0!</v>
      </c>
      <c r="AC48" s="3" t="s">
        <v>153</v>
      </c>
    </row>
    <row r="49" spans="1:34">
      <c r="A49" s="3" t="s">
        <v>78</v>
      </c>
      <c r="B49" s="26" t="s">
        <v>14</v>
      </c>
      <c r="C49" s="139">
        <v>0</v>
      </c>
      <c r="D49" s="22" t="s">
        <v>115</v>
      </c>
      <c r="AA49" s="27">
        <f>Admin!G40</f>
        <v>0</v>
      </c>
      <c r="AB49" s="31" t="e">
        <f>Admin!H40</f>
        <v>#DIV/0!</v>
      </c>
      <c r="AC49" s="3" t="s">
        <v>144</v>
      </c>
    </row>
    <row r="50" spans="1:34">
      <c r="A50" s="3" t="s">
        <v>79</v>
      </c>
      <c r="B50" s="26" t="s">
        <v>15</v>
      </c>
      <c r="C50" s="139">
        <v>0</v>
      </c>
      <c r="D50" s="22" t="s">
        <v>115</v>
      </c>
      <c r="AA50" s="27">
        <f>Admin!G42</f>
        <v>0</v>
      </c>
      <c r="AB50" s="28" t="e">
        <f>Admin!H42</f>
        <v>#DIV/0!</v>
      </c>
      <c r="AC50" s="29" t="s">
        <v>152</v>
      </c>
      <c r="AD50" s="30"/>
      <c r="AE50" s="30"/>
      <c r="AF50" s="30"/>
      <c r="AG50" s="30"/>
      <c r="AH50" s="30"/>
    </row>
    <row r="51" spans="1:34">
      <c r="A51" s="3" t="s">
        <v>80</v>
      </c>
      <c r="B51" s="26" t="s">
        <v>16</v>
      </c>
      <c r="C51" s="139">
        <v>0</v>
      </c>
      <c r="D51" s="22" t="s">
        <v>115</v>
      </c>
      <c r="AA51" s="27">
        <f>Admin!G44</f>
        <v>0</v>
      </c>
      <c r="AB51" s="31" t="e">
        <f>Admin!H44</f>
        <v>#DIV/0!</v>
      </c>
      <c r="AC51" s="3" t="s">
        <v>153</v>
      </c>
    </row>
    <row r="52" spans="1:34">
      <c r="A52" s="3" t="s">
        <v>81</v>
      </c>
      <c r="B52" s="26" t="s">
        <v>17</v>
      </c>
      <c r="C52" s="139">
        <v>0</v>
      </c>
      <c r="D52" s="22" t="s">
        <v>115</v>
      </c>
      <c r="AA52" s="27">
        <f>Admin!G46</f>
        <v>0</v>
      </c>
      <c r="AB52" s="28" t="e">
        <f>Admin!H46</f>
        <v>#DIV/0!</v>
      </c>
      <c r="AC52" s="29" t="s">
        <v>152</v>
      </c>
      <c r="AD52" s="30"/>
      <c r="AE52" s="30"/>
      <c r="AF52" s="30"/>
      <c r="AG52" s="30"/>
      <c r="AH52" s="30"/>
    </row>
    <row r="53" spans="1:34">
      <c r="A53" s="3" t="s">
        <v>82</v>
      </c>
      <c r="B53" s="26" t="s">
        <v>18</v>
      </c>
      <c r="C53" s="139">
        <v>0</v>
      </c>
      <c r="D53" s="22" t="s">
        <v>115</v>
      </c>
      <c r="AA53" s="27">
        <f>Admin!G48</f>
        <v>0</v>
      </c>
      <c r="AB53" s="31" t="e">
        <f>Admin!H48</f>
        <v>#DIV/0!</v>
      </c>
      <c r="AC53" s="3" t="s">
        <v>144</v>
      </c>
    </row>
    <row r="54" spans="1:34">
      <c r="A54" s="3" t="s">
        <v>83</v>
      </c>
      <c r="B54" s="26" t="s">
        <v>19</v>
      </c>
      <c r="C54" s="139">
        <v>0</v>
      </c>
      <c r="D54" s="22" t="s">
        <v>115</v>
      </c>
      <c r="AA54" s="27">
        <f>Admin!G50</f>
        <v>0</v>
      </c>
      <c r="AB54" s="28" t="e">
        <f>Admin!H50</f>
        <v>#DIV/0!</v>
      </c>
      <c r="AC54" s="29" t="s">
        <v>152</v>
      </c>
      <c r="AD54" s="30"/>
      <c r="AE54" s="30"/>
      <c r="AF54" s="30"/>
      <c r="AG54" s="30"/>
      <c r="AH54" s="30"/>
    </row>
    <row r="55" spans="1:34">
      <c r="A55" s="3" t="s">
        <v>84</v>
      </c>
      <c r="B55" s="26" t="s">
        <v>20</v>
      </c>
      <c r="C55" s="139">
        <v>0</v>
      </c>
      <c r="D55" s="22" t="s">
        <v>115</v>
      </c>
      <c r="AA55" s="27">
        <f>Admin!G52</f>
        <v>0</v>
      </c>
      <c r="AB55" s="31" t="e">
        <f>Admin!H52</f>
        <v>#DIV/0!</v>
      </c>
      <c r="AC55" s="3" t="s">
        <v>149</v>
      </c>
    </row>
    <row r="56" spans="1:34">
      <c r="A56" s="3" t="s">
        <v>85</v>
      </c>
      <c r="B56" s="26" t="s">
        <v>21</v>
      </c>
      <c r="C56" s="139">
        <v>0</v>
      </c>
      <c r="D56" s="22" t="s">
        <v>115</v>
      </c>
      <c r="AA56" s="27">
        <f>Admin!G54</f>
        <v>0</v>
      </c>
      <c r="AB56" s="31" t="e">
        <f>Admin!H54</f>
        <v>#DIV/0!</v>
      </c>
      <c r="AC56" s="3" t="s">
        <v>144</v>
      </c>
    </row>
    <row r="57" spans="1:34">
      <c r="A57" s="3" t="s">
        <v>86</v>
      </c>
      <c r="B57" s="26" t="s">
        <v>22</v>
      </c>
      <c r="C57" s="139">
        <v>0</v>
      </c>
      <c r="D57" s="22" t="s">
        <v>115</v>
      </c>
      <c r="AA57" s="27">
        <f>Admin!G56</f>
        <v>0</v>
      </c>
      <c r="AB57" s="31" t="e">
        <f>Admin!H56</f>
        <v>#DIV/0!</v>
      </c>
      <c r="AC57" s="3" t="s">
        <v>144</v>
      </c>
    </row>
    <row r="58" spans="1:34">
      <c r="A58" s="3" t="s">
        <v>87</v>
      </c>
      <c r="B58" s="26" t="s">
        <v>23</v>
      </c>
      <c r="C58" s="139">
        <v>0</v>
      </c>
      <c r="D58" s="22" t="s">
        <v>115</v>
      </c>
      <c r="AA58" s="27">
        <f>Admin!G58</f>
        <v>0</v>
      </c>
      <c r="AB58" s="31" t="e">
        <f>Admin!H58</f>
        <v>#DIV/0!</v>
      </c>
      <c r="AC58" s="3" t="s">
        <v>150</v>
      </c>
    </row>
    <row r="59" spans="1:34">
      <c r="A59" s="3" t="s">
        <v>88</v>
      </c>
      <c r="B59" s="26" t="s">
        <v>24</v>
      </c>
      <c r="C59" s="139">
        <v>0</v>
      </c>
      <c r="D59" s="22" t="s">
        <v>115</v>
      </c>
      <c r="AA59" s="27">
        <f>Admin!G60</f>
        <v>0</v>
      </c>
      <c r="AB59" s="31" t="e">
        <f>Admin!H60</f>
        <v>#DIV/0!</v>
      </c>
      <c r="AC59" s="3" t="s">
        <v>144</v>
      </c>
    </row>
    <row r="60" spans="1:34">
      <c r="A60" s="3" t="s">
        <v>89</v>
      </c>
      <c r="B60" s="26" t="s">
        <v>25</v>
      </c>
      <c r="C60" s="139">
        <v>0</v>
      </c>
      <c r="D60" s="22" t="s">
        <v>115</v>
      </c>
      <c r="AA60" s="27">
        <f>Admin!G62</f>
        <v>0</v>
      </c>
      <c r="AB60" s="28" t="e">
        <f>Admin!H62</f>
        <v>#DIV/0!</v>
      </c>
      <c r="AC60" s="29" t="s">
        <v>152</v>
      </c>
      <c r="AD60" s="30"/>
      <c r="AE60" s="30"/>
      <c r="AF60" s="30"/>
      <c r="AG60" s="30"/>
      <c r="AH60" s="30"/>
    </row>
    <row r="61" spans="1:34">
      <c r="A61" s="3" t="s">
        <v>90</v>
      </c>
      <c r="B61" s="26" t="s">
        <v>26</v>
      </c>
      <c r="C61" s="139">
        <v>0</v>
      </c>
      <c r="D61" s="22" t="s">
        <v>115</v>
      </c>
      <c r="AA61" s="27">
        <f>Admin!G64</f>
        <v>0</v>
      </c>
      <c r="AB61" s="31" t="e">
        <f>Admin!H64</f>
        <v>#DIV/0!</v>
      </c>
      <c r="AC61" s="3" t="s">
        <v>154</v>
      </c>
    </row>
    <row r="62" spans="1:34">
      <c r="A62" s="3" t="s">
        <v>91</v>
      </c>
      <c r="B62" s="26" t="s">
        <v>27</v>
      </c>
      <c r="C62" s="139">
        <v>0</v>
      </c>
      <c r="D62" s="22" t="s">
        <v>115</v>
      </c>
      <c r="AA62" s="27">
        <f>Admin!G66</f>
        <v>0</v>
      </c>
      <c r="AB62" s="31" t="e">
        <f>Admin!H66</f>
        <v>#DIV/0!</v>
      </c>
      <c r="AC62" s="3" t="s">
        <v>148</v>
      </c>
    </row>
    <row r="63" spans="1:34">
      <c r="A63" s="3" t="s">
        <v>92</v>
      </c>
      <c r="B63" s="26" t="s">
        <v>28</v>
      </c>
      <c r="C63" s="139">
        <v>0</v>
      </c>
      <c r="D63" s="22" t="s">
        <v>115</v>
      </c>
      <c r="AA63" s="27">
        <f>Admin!G68</f>
        <v>0</v>
      </c>
      <c r="AB63" s="31" t="e">
        <f>Admin!H68</f>
        <v>#DIV/0!</v>
      </c>
      <c r="AC63" s="3" t="s">
        <v>144</v>
      </c>
    </row>
    <row r="64" spans="1:34">
      <c r="A64" s="3" t="s">
        <v>93</v>
      </c>
      <c r="B64" s="26" t="s">
        <v>29</v>
      </c>
      <c r="C64" s="139">
        <v>0</v>
      </c>
      <c r="D64" s="22" t="s">
        <v>115</v>
      </c>
      <c r="AA64" s="27">
        <f>Admin!G70</f>
        <v>0</v>
      </c>
      <c r="AB64" s="31" t="e">
        <f>Admin!H70</f>
        <v>#DIV/0!</v>
      </c>
      <c r="AC64" s="3" t="s">
        <v>151</v>
      </c>
    </row>
    <row r="65" spans="1:34">
      <c r="A65" s="3" t="s">
        <v>94</v>
      </c>
      <c r="B65" s="26" t="s">
        <v>30</v>
      </c>
      <c r="C65" s="139">
        <v>0</v>
      </c>
      <c r="D65" s="22" t="s">
        <v>115</v>
      </c>
      <c r="AA65" s="27">
        <f>Admin!G72</f>
        <v>0</v>
      </c>
      <c r="AB65" s="31" t="e">
        <f>Admin!H72</f>
        <v>#DIV/0!</v>
      </c>
      <c r="AC65" s="3" t="s">
        <v>146</v>
      </c>
    </row>
    <row r="66" spans="1:34">
      <c r="A66" s="3" t="s">
        <v>95</v>
      </c>
      <c r="B66" s="26" t="s">
        <v>34</v>
      </c>
      <c r="C66" s="139">
        <v>0</v>
      </c>
      <c r="D66" s="22" t="s">
        <v>115</v>
      </c>
      <c r="AA66" s="27">
        <f>Admin!G74</f>
        <v>0</v>
      </c>
      <c r="AB66" s="28" t="e">
        <f>Admin!H74</f>
        <v>#DIV/0!</v>
      </c>
      <c r="AC66" s="29" t="s">
        <v>152</v>
      </c>
      <c r="AD66" s="30"/>
      <c r="AE66" s="30"/>
      <c r="AF66" s="30"/>
      <c r="AG66" s="30"/>
      <c r="AH66" s="30"/>
    </row>
    <row r="67" spans="1:34">
      <c r="A67" s="3" t="s">
        <v>96</v>
      </c>
      <c r="B67" s="26" t="s">
        <v>31</v>
      </c>
      <c r="C67" s="139">
        <v>0</v>
      </c>
      <c r="D67" s="22" t="s">
        <v>115</v>
      </c>
      <c r="AA67" s="27">
        <f>Admin!G76</f>
        <v>0</v>
      </c>
      <c r="AB67" s="28" t="e">
        <f>Admin!H76</f>
        <v>#DIV/0!</v>
      </c>
      <c r="AC67" s="29" t="s">
        <v>152</v>
      </c>
      <c r="AD67" s="30"/>
      <c r="AE67" s="30"/>
      <c r="AF67" s="30"/>
      <c r="AG67" s="30"/>
      <c r="AH67" s="30"/>
    </row>
    <row r="68" spans="1:34">
      <c r="A68" s="3" t="s">
        <v>97</v>
      </c>
      <c r="B68" s="26" t="s">
        <v>32</v>
      </c>
      <c r="C68" s="139">
        <v>0</v>
      </c>
      <c r="D68" s="22" t="s">
        <v>115</v>
      </c>
      <c r="AA68" s="27">
        <f>Admin!G78</f>
        <v>0</v>
      </c>
      <c r="AB68" s="31" t="e">
        <f>Admin!H78</f>
        <v>#DIV/0!</v>
      </c>
      <c r="AC68" s="3" t="s">
        <v>144</v>
      </c>
    </row>
    <row r="69" spans="1:34">
      <c r="A69" s="3" t="s">
        <v>98</v>
      </c>
      <c r="B69" s="26" t="s">
        <v>33</v>
      </c>
      <c r="C69" s="139">
        <v>0</v>
      </c>
      <c r="D69" s="22" t="s">
        <v>115</v>
      </c>
      <c r="AA69" s="27">
        <f>Admin!G80</f>
        <v>0</v>
      </c>
      <c r="AB69" s="31" t="e">
        <f>Admin!H80</f>
        <v>#DIV/0!</v>
      </c>
      <c r="AC69" s="3" t="s">
        <v>144</v>
      </c>
    </row>
    <row r="71" spans="1:34" ht="16" customHeight="1">
      <c r="A71" s="3" t="s">
        <v>221</v>
      </c>
      <c r="C71" s="21">
        <f>Analysis!E12</f>
        <v>0</v>
      </c>
      <c r="D71" s="342" t="s">
        <v>222</v>
      </c>
      <c r="E71" s="317"/>
      <c r="F71" s="317"/>
      <c r="G71" s="317"/>
      <c r="H71" s="317"/>
    </row>
    <row r="72" spans="1:34">
      <c r="D72" s="317"/>
      <c r="E72" s="317"/>
      <c r="F72" s="317"/>
      <c r="G72" s="317"/>
      <c r="H72" s="317"/>
    </row>
    <row r="73" spans="1:34">
      <c r="D73" s="317"/>
      <c r="E73" s="317"/>
      <c r="F73" s="317"/>
      <c r="G73" s="317"/>
      <c r="H73" s="317"/>
    </row>
  </sheetData>
  <sheetProtection password="F283" sheet="1" objects="1" scenarios="1" selectLockedCells="1"/>
  <mergeCells count="9">
    <mergeCell ref="D71:H73"/>
    <mergeCell ref="A19:G20"/>
    <mergeCell ref="A22:G24"/>
    <mergeCell ref="A8:G9"/>
    <mergeCell ref="A2:G2"/>
    <mergeCell ref="A1:G1"/>
    <mergeCell ref="A5:G6"/>
    <mergeCell ref="A11:G12"/>
    <mergeCell ref="A14:G1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Y92"/>
  <sheetViews>
    <sheetView windowProtection="1" zoomScale="125" zoomScaleNormal="125" zoomScalePageLayoutView="125" workbookViewId="0">
      <selection activeCell="J86" sqref="J86"/>
    </sheetView>
  </sheetViews>
  <sheetFormatPr baseColWidth="10" defaultRowHeight="16" x14ac:dyDescent="0"/>
  <cols>
    <col min="1" max="1" width="10.625" style="161"/>
    <col min="2" max="2" width="7.25" style="161" customWidth="1"/>
    <col min="3" max="3" width="11.875" style="161" bestFit="1" customWidth="1"/>
    <col min="4" max="4" width="7.25" style="161" customWidth="1"/>
    <col min="5" max="6" width="15" style="161" customWidth="1"/>
    <col min="7" max="9" width="12" style="161" customWidth="1"/>
    <col min="10" max="16384" width="10.625" style="161"/>
  </cols>
  <sheetData>
    <row r="1" spans="1:25">
      <c r="A1" s="160" t="s">
        <v>165</v>
      </c>
      <c r="K1" s="132"/>
      <c r="L1" s="162"/>
      <c r="M1" s="162"/>
      <c r="N1" s="162"/>
      <c r="O1" s="162"/>
      <c r="P1" s="162"/>
      <c r="Q1" s="162"/>
    </row>
    <row r="2" spans="1:25">
      <c r="K2" s="162"/>
      <c r="L2" s="162"/>
      <c r="M2" s="162"/>
      <c r="N2" s="162"/>
      <c r="O2" s="162"/>
      <c r="P2" s="162"/>
      <c r="Q2" s="162"/>
    </row>
    <row r="3" spans="1:25">
      <c r="A3" s="243" t="s">
        <v>206</v>
      </c>
      <c r="B3" s="243"/>
      <c r="C3" s="243"/>
      <c r="D3" s="243"/>
      <c r="E3" s="243"/>
      <c r="F3" s="243"/>
      <c r="G3" s="243"/>
      <c r="H3" s="243"/>
      <c r="I3" s="243"/>
      <c r="K3" s="162"/>
      <c r="L3" s="162"/>
      <c r="M3" s="162"/>
      <c r="N3" s="162"/>
      <c r="O3" s="162"/>
      <c r="P3" s="162"/>
      <c r="Q3" s="162"/>
    </row>
    <row r="4" spans="1:25">
      <c r="A4" s="243"/>
      <c r="B4" s="243"/>
      <c r="C4" s="243"/>
      <c r="D4" s="243"/>
      <c r="E4" s="243"/>
      <c r="F4" s="243"/>
      <c r="G4" s="243"/>
      <c r="H4" s="243"/>
      <c r="I4" s="243"/>
      <c r="K4" s="162"/>
      <c r="L4" s="162"/>
      <c r="M4" s="162"/>
      <c r="N4" s="162"/>
      <c r="O4" s="162"/>
      <c r="P4" s="162"/>
      <c r="Q4" s="162"/>
    </row>
    <row r="5" spans="1:25">
      <c r="A5" s="163"/>
      <c r="B5" s="163"/>
      <c r="C5" s="163"/>
      <c r="D5" s="163"/>
      <c r="E5" s="163"/>
      <c r="F5" s="163"/>
      <c r="G5" s="163"/>
      <c r="H5" s="163"/>
      <c r="I5" s="163"/>
      <c r="K5" s="162"/>
      <c r="L5" s="162"/>
      <c r="M5" s="162"/>
      <c r="N5" s="162"/>
      <c r="O5" s="162"/>
      <c r="P5" s="162"/>
      <c r="Q5" s="162"/>
    </row>
    <row r="6" spans="1:25">
      <c r="A6" s="133" t="s">
        <v>167</v>
      </c>
      <c r="B6" s="133"/>
      <c r="C6" s="133"/>
      <c r="D6" s="133"/>
      <c r="E6" s="133"/>
      <c r="F6" s="133"/>
      <c r="G6" s="133"/>
      <c r="H6" s="133"/>
      <c r="I6" s="133"/>
      <c r="K6" s="162"/>
      <c r="L6" s="162"/>
      <c r="M6" s="162"/>
      <c r="N6" s="162"/>
      <c r="O6" s="162"/>
      <c r="P6" s="162"/>
      <c r="Q6" s="162"/>
    </row>
    <row r="7" spans="1:25">
      <c r="A7" s="133"/>
      <c r="B7" s="133"/>
      <c r="C7" s="133"/>
      <c r="D7" s="133"/>
      <c r="E7" s="133"/>
      <c r="F7" s="133"/>
      <c r="G7" s="133"/>
      <c r="H7" s="133"/>
      <c r="I7" s="133"/>
      <c r="K7" s="162"/>
      <c r="L7" s="162"/>
      <c r="M7" s="162"/>
      <c r="N7" s="162"/>
      <c r="O7" s="162"/>
      <c r="P7" s="162"/>
      <c r="Q7" s="162"/>
    </row>
    <row r="8" spans="1:25">
      <c r="A8" s="244" t="s">
        <v>207</v>
      </c>
      <c r="B8" s="244"/>
      <c r="C8" s="244"/>
      <c r="D8" s="244"/>
      <c r="E8" s="244"/>
      <c r="F8" s="244"/>
      <c r="G8" s="244"/>
      <c r="H8" s="244"/>
      <c r="I8" s="244"/>
      <c r="K8" s="162"/>
      <c r="L8" s="162"/>
      <c r="M8" s="162"/>
      <c r="N8" s="162"/>
      <c r="O8" s="162"/>
      <c r="P8" s="162"/>
      <c r="Q8" s="162"/>
    </row>
    <row r="9" spans="1:25">
      <c r="A9" s="244"/>
      <c r="B9" s="244"/>
      <c r="C9" s="244"/>
      <c r="D9" s="244"/>
      <c r="E9" s="244"/>
      <c r="F9" s="244"/>
      <c r="G9" s="244"/>
      <c r="H9" s="244"/>
      <c r="I9" s="244"/>
      <c r="K9" s="162"/>
      <c r="L9" s="162"/>
      <c r="M9" s="162"/>
      <c r="N9" s="162"/>
      <c r="O9" s="162"/>
      <c r="P9" s="162"/>
      <c r="Q9" s="162"/>
    </row>
    <row r="10" spans="1:25">
      <c r="A10" s="244"/>
      <c r="B10" s="244"/>
      <c r="C10" s="244"/>
      <c r="D10" s="244"/>
      <c r="E10" s="244"/>
      <c r="F10" s="244"/>
      <c r="G10" s="244"/>
      <c r="H10" s="244"/>
      <c r="I10" s="244"/>
      <c r="K10" s="162"/>
      <c r="L10" s="162"/>
      <c r="M10" s="162"/>
      <c r="N10" s="162"/>
      <c r="O10" s="162"/>
      <c r="P10" s="162"/>
      <c r="Q10" s="162"/>
    </row>
    <row r="11" spans="1:25">
      <c r="A11" s="164"/>
      <c r="B11" s="164"/>
      <c r="C11" s="164"/>
      <c r="D11" s="164"/>
      <c r="E11" s="164"/>
      <c r="F11" s="164"/>
      <c r="G11" s="164"/>
      <c r="H11" s="164"/>
      <c r="I11" s="164"/>
      <c r="K11" s="162"/>
      <c r="L11" s="162"/>
      <c r="M11" s="162"/>
      <c r="N11" s="162"/>
      <c r="O11" s="162"/>
      <c r="P11" s="162"/>
      <c r="Q11" s="162"/>
    </row>
    <row r="12" spans="1:25">
      <c r="A12" s="246" t="s">
        <v>212</v>
      </c>
      <c r="B12" s="247"/>
      <c r="C12" s="247"/>
      <c r="D12" s="247"/>
      <c r="E12" s="209">
        <f>'Input Values'!AA32</f>
        <v>0</v>
      </c>
      <c r="K12" s="162"/>
      <c r="L12" s="162"/>
      <c r="M12" s="162"/>
      <c r="N12" s="162"/>
      <c r="O12" s="162"/>
      <c r="P12" s="162"/>
      <c r="Q12" s="162"/>
    </row>
    <row r="14" spans="1:25">
      <c r="A14" s="248" t="s">
        <v>164</v>
      </c>
      <c r="B14" s="248"/>
      <c r="C14" s="248"/>
      <c r="D14" s="248"/>
      <c r="E14" s="248" t="s">
        <v>208</v>
      </c>
      <c r="F14" s="249"/>
      <c r="G14" s="250" t="s">
        <v>127</v>
      </c>
      <c r="H14" s="250"/>
      <c r="I14" s="250"/>
      <c r="J14" s="245" t="s">
        <v>141</v>
      </c>
      <c r="K14" s="245"/>
      <c r="L14" s="245"/>
      <c r="M14" s="245"/>
      <c r="N14" s="245"/>
      <c r="O14" s="245"/>
      <c r="P14" s="245"/>
      <c r="Q14" s="245"/>
      <c r="R14" s="245"/>
      <c r="S14" s="245"/>
      <c r="T14" s="245"/>
      <c r="U14" s="245"/>
      <c r="V14" s="245"/>
      <c r="W14" s="245"/>
      <c r="X14" s="245"/>
      <c r="Y14" s="245"/>
    </row>
    <row r="15" spans="1:25" ht="16" customHeight="1">
      <c r="A15" s="134" t="s">
        <v>64</v>
      </c>
      <c r="B15" s="1" t="s">
        <v>0</v>
      </c>
      <c r="C15" s="165">
        <f>'Input Values'!C34</f>
        <v>0</v>
      </c>
      <c r="D15" s="2" t="s">
        <v>115</v>
      </c>
      <c r="E15" s="165">
        <f>'Input Values'!AA34</f>
        <v>0</v>
      </c>
      <c r="F15" s="2" t="s">
        <v>115</v>
      </c>
      <c r="G15" s="167" t="str">
        <f>A15</f>
        <v>Aluminum</v>
      </c>
      <c r="H15" s="168" t="e">
        <f>IF('Input Values'!AB34&gt;0,"is elevated by","is deficient by")</f>
        <v>#DIV/0!</v>
      </c>
      <c r="I15" s="169" t="e">
        <f>'Input Values'!AB34</f>
        <v>#DIV/0!</v>
      </c>
      <c r="J15" s="135" t="s">
        <v>190</v>
      </c>
    </row>
    <row r="16" spans="1:25" ht="16" customHeight="1">
      <c r="A16" s="134"/>
      <c r="B16" s="1"/>
      <c r="C16" s="165"/>
      <c r="D16" s="2"/>
      <c r="E16" s="165"/>
      <c r="F16" s="2"/>
      <c r="G16" s="167"/>
      <c r="H16" s="168"/>
      <c r="I16" s="169"/>
      <c r="J16" s="135"/>
    </row>
    <row r="17" spans="1:10" ht="16" customHeight="1">
      <c r="A17" s="134" t="s">
        <v>65</v>
      </c>
      <c r="B17" s="1" t="s">
        <v>1</v>
      </c>
      <c r="C17" s="165">
        <f>'Input Values'!C35</f>
        <v>0</v>
      </c>
      <c r="D17" s="2" t="s">
        <v>115</v>
      </c>
      <c r="E17" s="165">
        <f>'Input Values'!AA35</f>
        <v>0</v>
      </c>
      <c r="F17" s="2" t="s">
        <v>115</v>
      </c>
      <c r="G17" s="167" t="str">
        <f t="shared" ref="G17:G85" si="0">A17</f>
        <v>Arsenic</v>
      </c>
      <c r="H17" s="168" t="e">
        <f>IF('Input Values'!AB35&gt;0,"is elevated by","is deficient by")</f>
        <v>#DIV/0!</v>
      </c>
      <c r="I17" s="169" t="e">
        <f>'Input Values'!AB35</f>
        <v>#DIV/0!</v>
      </c>
      <c r="J17" s="135" t="s">
        <v>190</v>
      </c>
    </row>
    <row r="18" spans="1:10" ht="16" customHeight="1">
      <c r="A18" s="134"/>
      <c r="B18" s="1"/>
      <c r="C18" s="165"/>
      <c r="D18" s="2"/>
      <c r="E18" s="165"/>
      <c r="F18" s="2"/>
      <c r="G18" s="167"/>
      <c r="H18" s="168"/>
      <c r="I18" s="169"/>
      <c r="J18" s="135"/>
    </row>
    <row r="19" spans="1:10" ht="16" customHeight="1">
      <c r="A19" s="134" t="s">
        <v>66</v>
      </c>
      <c r="B19" s="1" t="s">
        <v>2</v>
      </c>
      <c r="C19" s="165">
        <f>'Input Values'!C36</f>
        <v>0</v>
      </c>
      <c r="D19" s="2" t="s">
        <v>115</v>
      </c>
      <c r="E19" s="165">
        <f>'Input Values'!AA36</f>
        <v>0</v>
      </c>
      <c r="F19" s="2" t="s">
        <v>115</v>
      </c>
      <c r="G19" s="167" t="str">
        <f t="shared" si="0"/>
        <v>Boron</v>
      </c>
      <c r="H19" s="168" t="e">
        <f>IF('Input Values'!AB36&gt;0,"is elevated by","is deficient by")</f>
        <v>#DIV/0!</v>
      </c>
      <c r="I19" s="169" t="e">
        <f>'Input Values'!AB36</f>
        <v>#DIV/0!</v>
      </c>
      <c r="J19" s="135" t="e">
        <f>IF(I19&lt;0,"The value is deficient and should be increased gradually by applying Isol8 B as directed on the dosing tabs.","Elevated concentration should be permitted to gradually drop until next ICP analysis indicates a value closer to the standard.")</f>
        <v>#DIV/0!</v>
      </c>
    </row>
    <row r="20" spans="1:10" ht="16" customHeight="1">
      <c r="A20" s="134"/>
      <c r="B20" s="1"/>
      <c r="C20" s="165"/>
      <c r="D20" s="2"/>
      <c r="E20" s="165"/>
      <c r="F20" s="2"/>
      <c r="G20" s="167"/>
      <c r="H20" s="168"/>
      <c r="I20" s="169"/>
      <c r="J20" s="135"/>
    </row>
    <row r="21" spans="1:10" ht="16" customHeight="1">
      <c r="A21" s="134" t="s">
        <v>67</v>
      </c>
      <c r="B21" s="1" t="s">
        <v>3</v>
      </c>
      <c r="C21" s="165">
        <f>'Input Values'!C37</f>
        <v>0</v>
      </c>
      <c r="D21" s="2" t="s">
        <v>115</v>
      </c>
      <c r="E21" s="165">
        <f>'Input Values'!AA37</f>
        <v>0</v>
      </c>
      <c r="F21" s="2" t="s">
        <v>115</v>
      </c>
      <c r="G21" s="167" t="str">
        <f t="shared" si="0"/>
        <v>Barium</v>
      </c>
      <c r="H21" s="168" t="e">
        <f>IF('Input Values'!AB37&gt;0,"is elevated by","is deficient by")</f>
        <v>#DIV/0!</v>
      </c>
      <c r="I21" s="169" t="e">
        <f>'Input Values'!AB37</f>
        <v>#DIV/0!</v>
      </c>
      <c r="J21" s="135" t="e">
        <f>IF(I21&lt;0,"The value is deficient and should be increased gradually by applying Isol8 Ba as directed on the dosing tabs.","Elevated concentration should be permitted to gradually drop until next ICP analysis indicates a value closer to the standard.")</f>
        <v>#DIV/0!</v>
      </c>
    </row>
    <row r="22" spans="1:10" ht="16" customHeight="1">
      <c r="A22" s="134"/>
      <c r="B22" s="1"/>
      <c r="C22" s="165"/>
      <c r="D22" s="2"/>
      <c r="E22" s="165"/>
      <c r="F22" s="2"/>
      <c r="G22" s="167"/>
      <c r="H22" s="168"/>
      <c r="I22" s="169"/>
      <c r="J22" s="135"/>
    </row>
    <row r="23" spans="1:10" ht="16" customHeight="1">
      <c r="A23" s="134" t="s">
        <v>68</v>
      </c>
      <c r="B23" s="1" t="s">
        <v>4</v>
      </c>
      <c r="C23" s="165">
        <f>'Input Values'!C38</f>
        <v>0</v>
      </c>
      <c r="D23" s="2" t="s">
        <v>115</v>
      </c>
      <c r="E23" s="165">
        <f>'Input Values'!AA38</f>
        <v>0</v>
      </c>
      <c r="F23" s="2" t="s">
        <v>115</v>
      </c>
      <c r="G23" s="167" t="str">
        <f t="shared" si="0"/>
        <v>Beryllium</v>
      </c>
      <c r="H23" s="168" t="e">
        <f>IF('Input Values'!AB38&gt;0,"is elevated by","is deficient by")</f>
        <v>#DIV/0!</v>
      </c>
      <c r="I23" s="169" t="e">
        <f>'Input Values'!AB38</f>
        <v>#DIV/0!</v>
      </c>
      <c r="J23" s="135" t="s">
        <v>190</v>
      </c>
    </row>
    <row r="24" spans="1:10" ht="16" customHeight="1">
      <c r="A24" s="134"/>
      <c r="B24" s="1"/>
      <c r="C24" s="165"/>
      <c r="D24" s="2"/>
      <c r="E24" s="165"/>
      <c r="F24" s="2"/>
      <c r="G24" s="167"/>
      <c r="H24" s="168"/>
      <c r="I24" s="169"/>
      <c r="J24" s="135"/>
    </row>
    <row r="25" spans="1:10" ht="16" customHeight="1">
      <c r="A25" s="134" t="s">
        <v>69</v>
      </c>
      <c r="B25" s="1" t="s">
        <v>5</v>
      </c>
      <c r="C25" s="165">
        <f>'Input Values'!C39</f>
        <v>0</v>
      </c>
      <c r="D25" s="2" t="s">
        <v>115</v>
      </c>
      <c r="E25" s="165">
        <f>'Input Values'!AA39</f>
        <v>0</v>
      </c>
      <c r="F25" s="2" t="s">
        <v>115</v>
      </c>
      <c r="G25" s="167" t="str">
        <f t="shared" si="0"/>
        <v>Bismuth</v>
      </c>
      <c r="H25" s="168" t="e">
        <f>IF('Input Values'!AB39&gt;0,"is elevated by","is deficient by")</f>
        <v>#DIV/0!</v>
      </c>
      <c r="I25" s="169" t="e">
        <f>'Input Values'!AB39</f>
        <v>#DIV/0!</v>
      </c>
      <c r="J25" s="135" t="s">
        <v>190</v>
      </c>
    </row>
    <row r="26" spans="1:10" ht="16" customHeight="1">
      <c r="A26" s="134"/>
      <c r="B26" s="1"/>
      <c r="C26" s="165"/>
      <c r="D26" s="2"/>
      <c r="E26" s="165"/>
      <c r="F26" s="2"/>
      <c r="G26" s="167"/>
      <c r="H26" s="168"/>
      <c r="I26" s="169"/>
      <c r="J26" s="135"/>
    </row>
    <row r="27" spans="1:10" ht="16" customHeight="1">
      <c r="A27" s="134" t="s">
        <v>70</v>
      </c>
      <c r="B27" s="1" t="s">
        <v>6</v>
      </c>
      <c r="C27" s="165">
        <f>'Input Values'!C40</f>
        <v>0</v>
      </c>
      <c r="D27" s="2" t="s">
        <v>115</v>
      </c>
      <c r="E27" s="165">
        <f>'Input Values'!AA40</f>
        <v>0</v>
      </c>
      <c r="F27" s="2" t="s">
        <v>115</v>
      </c>
      <c r="G27" s="167" t="str">
        <f t="shared" si="0"/>
        <v>Bromide</v>
      </c>
      <c r="H27" s="168" t="e">
        <f>IF('Input Values'!AB40&gt;0,"is elevated by","is deficient by")</f>
        <v>#DIV/0!</v>
      </c>
      <c r="I27" s="169" t="e">
        <f>'Input Values'!AB40</f>
        <v>#DIV/0!</v>
      </c>
      <c r="J27" s="135" t="e">
        <f>IF(I27&lt;0,"The value is deficient and should be increased gradually by applying Isol8 Br as directed on the dosing tabs.","Elevated concentration should be permitted to gradually drop until next ICP analysis indicates a value closer to the standard.")</f>
        <v>#DIV/0!</v>
      </c>
    </row>
    <row r="28" spans="1:10" ht="16" customHeight="1">
      <c r="A28" s="134"/>
      <c r="B28" s="1"/>
      <c r="C28" s="165"/>
      <c r="D28" s="2"/>
      <c r="E28" s="165"/>
      <c r="F28" s="2"/>
      <c r="G28" s="167"/>
      <c r="H28" s="168"/>
      <c r="I28" s="169"/>
      <c r="J28" s="135"/>
    </row>
    <row r="29" spans="1:10" ht="16" customHeight="1">
      <c r="A29" s="134" t="s">
        <v>71</v>
      </c>
      <c r="B29" s="1" t="s">
        <v>7</v>
      </c>
      <c r="C29" s="165">
        <f>'Input Values'!C41</f>
        <v>0</v>
      </c>
      <c r="D29" s="2" t="s">
        <v>115</v>
      </c>
      <c r="E29" s="165">
        <f>'Input Values'!AA41</f>
        <v>0</v>
      </c>
      <c r="F29" s="2" t="s">
        <v>115</v>
      </c>
      <c r="G29" s="167" t="str">
        <f t="shared" si="0"/>
        <v>Calcium</v>
      </c>
      <c r="H29" s="168" t="e">
        <f>IF('Input Values'!AB41&gt;0,"is elevated by","is deficient by")</f>
        <v>#DIV/0!</v>
      </c>
      <c r="I29" s="169" t="e">
        <f>'Input Values'!AB41</f>
        <v>#DIV/0!</v>
      </c>
      <c r="J29" s="135" t="e">
        <f>IF(I29&lt;0,"The value is deficient and should be increased gradually by applying Isol8 Ca or Ca(OH)2 as directed on the dosing tabs.","Elevated concentration should be permitted to gradually drop until next ICP analysis indicates a value closer to the standard.")</f>
        <v>#DIV/0!</v>
      </c>
    </row>
    <row r="30" spans="1:10" ht="16" customHeight="1">
      <c r="A30" s="134"/>
      <c r="B30" s="1"/>
      <c r="C30" s="165"/>
      <c r="D30" s="2"/>
      <c r="E30" s="165"/>
      <c r="F30" s="2"/>
      <c r="G30" s="167"/>
      <c r="H30" s="168"/>
      <c r="I30" s="169"/>
      <c r="J30" s="135"/>
    </row>
    <row r="31" spans="1:10" ht="16" customHeight="1">
      <c r="A31" s="134" t="s">
        <v>113</v>
      </c>
      <c r="B31" s="1" t="s">
        <v>8</v>
      </c>
      <c r="C31" s="165">
        <f>'Input Values'!C42</f>
        <v>0</v>
      </c>
      <c r="D31" s="2" t="s">
        <v>115</v>
      </c>
      <c r="E31" s="165">
        <f>'Input Values'!AA42</f>
        <v>0</v>
      </c>
      <c r="F31" s="2" t="s">
        <v>115</v>
      </c>
      <c r="G31" s="167" t="str">
        <f t="shared" si="0"/>
        <v>Cadmium</v>
      </c>
      <c r="H31" s="168" t="e">
        <f>IF('Input Values'!AB42&gt;0,"is elevated by","is deficient by")</f>
        <v>#DIV/0!</v>
      </c>
      <c r="I31" s="169" t="e">
        <f>'Input Values'!AB42</f>
        <v>#DIV/0!</v>
      </c>
      <c r="J31" s="135" t="s">
        <v>190</v>
      </c>
    </row>
    <row r="32" spans="1:10" ht="16" customHeight="1">
      <c r="A32" s="134"/>
      <c r="B32" s="1"/>
      <c r="C32" s="165"/>
      <c r="D32" s="2"/>
      <c r="E32" s="165"/>
      <c r="F32" s="2"/>
      <c r="G32" s="167"/>
      <c r="H32" s="168"/>
      <c r="I32" s="169"/>
      <c r="J32" s="135"/>
    </row>
    <row r="33" spans="1:10" ht="16" customHeight="1">
      <c r="A33" s="134" t="s">
        <v>72</v>
      </c>
      <c r="B33" s="1" t="s">
        <v>9</v>
      </c>
      <c r="C33" s="165">
        <f>'Input Values'!C43</f>
        <v>0</v>
      </c>
      <c r="D33" s="2" t="s">
        <v>115</v>
      </c>
      <c r="E33" s="165">
        <f>'Input Values'!AA43</f>
        <v>0</v>
      </c>
      <c r="F33" s="2" t="s">
        <v>115</v>
      </c>
      <c r="G33" s="167" t="str">
        <f t="shared" si="0"/>
        <v>Chloride</v>
      </c>
      <c r="H33" s="168" t="e">
        <f>IF('Input Values'!AB43&gt;0,"is elevated by","is deficient by")</f>
        <v>#DIV/0!</v>
      </c>
      <c r="I33" s="169" t="e">
        <f>'Input Values'!AB43</f>
        <v>#DIV/0!</v>
      </c>
      <c r="J33" s="134" t="s">
        <v>147</v>
      </c>
    </row>
    <row r="34" spans="1:10" ht="16" customHeight="1">
      <c r="A34" s="134"/>
      <c r="B34" s="1"/>
      <c r="C34" s="165"/>
      <c r="D34" s="2"/>
      <c r="E34" s="165"/>
      <c r="F34" s="2"/>
      <c r="G34" s="167"/>
      <c r="H34" s="168"/>
      <c r="I34" s="169"/>
      <c r="J34" s="134"/>
    </row>
    <row r="35" spans="1:10" ht="16" customHeight="1">
      <c r="A35" s="134" t="s">
        <v>73</v>
      </c>
      <c r="B35" s="1" t="s">
        <v>10</v>
      </c>
      <c r="C35" s="165">
        <f>'Input Values'!C44</f>
        <v>0</v>
      </c>
      <c r="D35" s="2" t="s">
        <v>115</v>
      </c>
      <c r="E35" s="165">
        <f>'Input Values'!AA44</f>
        <v>0</v>
      </c>
      <c r="F35" s="2" t="s">
        <v>115</v>
      </c>
      <c r="G35" s="167" t="str">
        <f t="shared" si="0"/>
        <v>Cobalt</v>
      </c>
      <c r="H35" s="168" t="e">
        <f>IF('Input Values'!AB44&gt;0,"is elevated by","is deficient by")</f>
        <v>#DIV/0!</v>
      </c>
      <c r="I35" s="169" t="e">
        <f>'Input Values'!AB44</f>
        <v>#DIV/0!</v>
      </c>
      <c r="J35" s="135" t="e">
        <f>IF(I35&lt;0,"The value is deficient and should be increased gradually by applying Isol8 Co as directed on the dosing tabs.","Elevated concentration should be permitted to gradually drop until next ICP analysis indicates a value closer to the standard.")</f>
        <v>#DIV/0!</v>
      </c>
    </row>
    <row r="36" spans="1:10" ht="16" customHeight="1">
      <c r="A36" s="134"/>
      <c r="B36" s="1"/>
      <c r="C36" s="165"/>
      <c r="D36" s="2"/>
      <c r="E36" s="165"/>
      <c r="F36" s="2"/>
      <c r="G36" s="167"/>
      <c r="H36" s="168"/>
      <c r="I36" s="169"/>
      <c r="J36" s="135"/>
    </row>
    <row r="37" spans="1:10" ht="16" customHeight="1">
      <c r="A37" s="134" t="s">
        <v>74</v>
      </c>
      <c r="B37" s="1" t="s">
        <v>11</v>
      </c>
      <c r="C37" s="165">
        <f>'Input Values'!C45</f>
        <v>0</v>
      </c>
      <c r="D37" s="2" t="s">
        <v>115</v>
      </c>
      <c r="E37" s="165">
        <f>'Input Values'!AA45</f>
        <v>0</v>
      </c>
      <c r="F37" s="2" t="s">
        <v>115</v>
      </c>
      <c r="G37" s="167" t="str">
        <f t="shared" si="0"/>
        <v>Chromium</v>
      </c>
      <c r="H37" s="168" t="e">
        <f>IF('Input Values'!AB45&gt;0,"is elevated by","is deficient by")</f>
        <v>#DIV/0!</v>
      </c>
      <c r="I37" s="169" t="e">
        <f>'Input Values'!AB45</f>
        <v>#DIV/0!</v>
      </c>
      <c r="J37" s="135" t="e">
        <f>IF(I37&lt;0,"The value is deficient and should be increased gradually by applying Isol8 Cr as directed on the dosing tabs.","Elevated concentration should be permitted to gradually drop until next ICP analysis indicates a value closer to the standard.")</f>
        <v>#DIV/0!</v>
      </c>
    </row>
    <row r="38" spans="1:10" ht="16" customHeight="1">
      <c r="A38" s="134"/>
      <c r="B38" s="1"/>
      <c r="C38" s="165"/>
      <c r="D38" s="2"/>
      <c r="E38" s="165"/>
      <c r="F38" s="2"/>
      <c r="G38" s="167"/>
      <c r="H38" s="168"/>
      <c r="I38" s="169"/>
      <c r="J38" s="135"/>
    </row>
    <row r="39" spans="1:10" ht="16" customHeight="1">
      <c r="A39" s="134" t="s">
        <v>75</v>
      </c>
      <c r="B39" s="1" t="s">
        <v>12</v>
      </c>
      <c r="C39" s="165">
        <f>'Input Values'!C46</f>
        <v>0</v>
      </c>
      <c r="D39" s="2" t="s">
        <v>115</v>
      </c>
      <c r="E39" s="165">
        <f>'Input Values'!AA46</f>
        <v>0</v>
      </c>
      <c r="F39" s="2" t="s">
        <v>115</v>
      </c>
      <c r="G39" s="167" t="str">
        <f t="shared" si="0"/>
        <v>Caesium</v>
      </c>
      <c r="H39" s="168" t="e">
        <f>IF('Input Values'!AB46&gt;0,"is elevated by","is deficient by")</f>
        <v>#DIV/0!</v>
      </c>
      <c r="I39" s="169" t="e">
        <f>'Input Values'!AB46</f>
        <v>#DIV/0!</v>
      </c>
      <c r="J39" s="135" t="s">
        <v>190</v>
      </c>
    </row>
    <row r="40" spans="1:10" ht="16" customHeight="1">
      <c r="A40" s="134"/>
      <c r="B40" s="1"/>
      <c r="C40" s="165"/>
      <c r="D40" s="2"/>
      <c r="E40" s="165"/>
      <c r="F40" s="2"/>
      <c r="G40" s="167"/>
      <c r="H40" s="168"/>
      <c r="I40" s="169"/>
      <c r="J40" s="135"/>
    </row>
    <row r="41" spans="1:10" ht="16" customHeight="1">
      <c r="A41" s="134" t="s">
        <v>76</v>
      </c>
      <c r="B41" s="1" t="s">
        <v>13</v>
      </c>
      <c r="C41" s="165">
        <f>'Input Values'!C47</f>
        <v>0</v>
      </c>
      <c r="D41" s="2" t="s">
        <v>115</v>
      </c>
      <c r="E41" s="165">
        <f>'Input Values'!AA47</f>
        <v>0</v>
      </c>
      <c r="F41" s="2" t="s">
        <v>115</v>
      </c>
      <c r="G41" s="167" t="str">
        <f t="shared" si="0"/>
        <v>Copper</v>
      </c>
      <c r="H41" s="168" t="e">
        <f>IF('Input Values'!AB47&gt;0,"is elevated by","is deficient by")</f>
        <v>#DIV/0!</v>
      </c>
      <c r="I41" s="169" t="e">
        <f>'Input Values'!AB47</f>
        <v>#DIV/0!</v>
      </c>
      <c r="J41" s="135" t="e">
        <f>IF(I41&lt;0,"The value is deficient and should be increased gradually by applying Isol8 Cu as directed on the dosing tabs.","Elevated concentration should be permitted to gradually drop until next ICP analysis indicates a value closer to the standard.")</f>
        <v>#DIV/0!</v>
      </c>
    </row>
    <row r="42" spans="1:10" ht="16" customHeight="1">
      <c r="A42" s="134"/>
      <c r="B42" s="1"/>
      <c r="C42" s="165"/>
      <c r="D42" s="2"/>
      <c r="E42" s="165"/>
      <c r="F42" s="2"/>
      <c r="G42" s="167"/>
      <c r="H42" s="168"/>
      <c r="I42" s="169"/>
      <c r="J42" s="135"/>
    </row>
    <row r="43" spans="1:10" ht="16" customHeight="1">
      <c r="A43" s="134" t="s">
        <v>77</v>
      </c>
      <c r="B43" s="1" t="s">
        <v>58</v>
      </c>
      <c r="C43" s="165">
        <f>'Input Values'!C48</f>
        <v>0</v>
      </c>
      <c r="D43" s="2" t="s">
        <v>115</v>
      </c>
      <c r="E43" s="165">
        <f>'Input Values'!AA48</f>
        <v>0</v>
      </c>
      <c r="F43" s="2" t="s">
        <v>115</v>
      </c>
      <c r="G43" s="167" t="str">
        <f t="shared" si="0"/>
        <v>Fluoride</v>
      </c>
      <c r="H43" s="168" t="e">
        <f>IF('Input Values'!AB48&gt;0,"is elevated by","is deficient by")</f>
        <v>#DIV/0!</v>
      </c>
      <c r="I43" s="169" t="e">
        <f>'Input Values'!AB48</f>
        <v>#DIV/0!</v>
      </c>
      <c r="J43" s="135" t="e">
        <f>IF(I43&lt;0,"The value is deficient and should be increased gradually by applying Isol8 F as directed on the dosing tabs.","Elevated concentration should be permitted to gradually drop until next ICP analysis indicates a value closer to the standard.")</f>
        <v>#DIV/0!</v>
      </c>
    </row>
    <row r="44" spans="1:10" ht="16" customHeight="1">
      <c r="A44" s="134"/>
      <c r="B44" s="1"/>
      <c r="C44" s="165"/>
      <c r="D44" s="2"/>
      <c r="E44" s="165"/>
      <c r="F44" s="2"/>
      <c r="G44" s="167"/>
      <c r="H44" s="168"/>
      <c r="I44" s="169"/>
      <c r="J44" s="135"/>
    </row>
    <row r="45" spans="1:10" ht="16" customHeight="1">
      <c r="A45" s="134" t="s">
        <v>78</v>
      </c>
      <c r="B45" s="1" t="s">
        <v>14</v>
      </c>
      <c r="C45" s="165">
        <f>'Input Values'!C49</f>
        <v>0</v>
      </c>
      <c r="D45" s="2" t="s">
        <v>115</v>
      </c>
      <c r="E45" s="165">
        <f>'Input Values'!AA49</f>
        <v>0</v>
      </c>
      <c r="F45" s="2" t="s">
        <v>115</v>
      </c>
      <c r="G45" s="167" t="str">
        <f t="shared" si="0"/>
        <v>Iron</v>
      </c>
      <c r="H45" s="168" t="e">
        <f>IF('Input Values'!AB49&gt;0,"is elevated by","is deficient by")</f>
        <v>#DIV/0!</v>
      </c>
      <c r="I45" s="169" t="e">
        <f>'Input Values'!AB49</f>
        <v>#DIV/0!</v>
      </c>
      <c r="J45" s="135" t="e">
        <f>IF(I45&lt;0,"The value is deficient and should be increased gradually by applying Isol8 Fe as directed on the dosing tabs.","Elevated concentration should be permitted to gradually drop until next ICP analysis indicates a value closer to the standard.")</f>
        <v>#DIV/0!</v>
      </c>
    </row>
    <row r="46" spans="1:10" ht="16" customHeight="1">
      <c r="A46" s="134"/>
      <c r="B46" s="1"/>
      <c r="C46" s="165"/>
      <c r="D46" s="2"/>
      <c r="E46" s="165"/>
      <c r="F46" s="2"/>
      <c r="G46" s="167"/>
      <c r="H46" s="168"/>
      <c r="I46" s="169"/>
      <c r="J46" s="135"/>
    </row>
    <row r="47" spans="1:10" ht="16" customHeight="1">
      <c r="A47" s="134" t="s">
        <v>79</v>
      </c>
      <c r="B47" s="1" t="s">
        <v>15</v>
      </c>
      <c r="C47" s="165">
        <f>'Input Values'!C50</f>
        <v>0</v>
      </c>
      <c r="D47" s="2" t="s">
        <v>115</v>
      </c>
      <c r="E47" s="165">
        <f>'Input Values'!AA50</f>
        <v>0</v>
      </c>
      <c r="F47" s="2" t="s">
        <v>115</v>
      </c>
      <c r="G47" s="167" t="str">
        <f t="shared" si="0"/>
        <v>Gallium</v>
      </c>
      <c r="H47" s="168" t="e">
        <f>IF('Input Values'!AB50&gt;0,"is elevated by","is deficient by")</f>
        <v>#DIV/0!</v>
      </c>
      <c r="I47" s="169" t="e">
        <f>'Input Values'!AB50</f>
        <v>#DIV/0!</v>
      </c>
      <c r="J47" s="135" t="s">
        <v>190</v>
      </c>
    </row>
    <row r="48" spans="1:10" ht="16" customHeight="1">
      <c r="A48" s="134"/>
      <c r="B48" s="1"/>
      <c r="C48" s="165"/>
      <c r="D48" s="2"/>
      <c r="E48" s="165"/>
      <c r="F48" s="2"/>
      <c r="G48" s="167"/>
      <c r="H48" s="168"/>
      <c r="I48" s="169"/>
      <c r="J48" s="135"/>
    </row>
    <row r="49" spans="1:10" ht="16" customHeight="1">
      <c r="A49" s="134" t="s">
        <v>80</v>
      </c>
      <c r="B49" s="1" t="s">
        <v>16</v>
      </c>
      <c r="C49" s="165">
        <f>'Input Values'!C51</f>
        <v>0</v>
      </c>
      <c r="D49" s="2" t="s">
        <v>115</v>
      </c>
      <c r="E49" s="165">
        <f>'Input Values'!AA51</f>
        <v>0</v>
      </c>
      <c r="F49" s="2" t="s">
        <v>115</v>
      </c>
      <c r="G49" s="167" t="str">
        <f t="shared" si="0"/>
        <v>Iodide</v>
      </c>
      <c r="H49" s="168" t="e">
        <f>IF('Input Values'!AB51&gt;0,"is elevated by","is deficient by")</f>
        <v>#DIV/0!</v>
      </c>
      <c r="I49" s="169" t="e">
        <f>'Input Values'!AB51</f>
        <v>#DIV/0!</v>
      </c>
      <c r="J49" s="135" t="e">
        <f>IF(I49&lt;0,"The value is deficient and should be increased gradually by applying Isol8 I as directed on the dosing tabs.","Elevated concentration should be permitted to gradually drop until next ICP analysis indicates a value closer to the standard.")</f>
        <v>#DIV/0!</v>
      </c>
    </row>
    <row r="50" spans="1:10" ht="16" customHeight="1">
      <c r="A50" s="134"/>
      <c r="B50" s="1"/>
      <c r="C50" s="165"/>
      <c r="D50" s="2"/>
      <c r="E50" s="165"/>
      <c r="F50" s="2"/>
      <c r="G50" s="167"/>
      <c r="H50" s="168"/>
      <c r="I50" s="169"/>
      <c r="J50" s="135"/>
    </row>
    <row r="51" spans="1:10" ht="16" customHeight="1">
      <c r="A51" s="134" t="s">
        <v>81</v>
      </c>
      <c r="B51" s="1" t="s">
        <v>17</v>
      </c>
      <c r="C51" s="165">
        <f>'Input Values'!C52</f>
        <v>0</v>
      </c>
      <c r="D51" s="2" t="s">
        <v>115</v>
      </c>
      <c r="E51" s="165">
        <f>'Input Values'!AA52</f>
        <v>0</v>
      </c>
      <c r="F51" s="2" t="s">
        <v>115</v>
      </c>
      <c r="G51" s="167" t="str">
        <f t="shared" si="0"/>
        <v>Indium</v>
      </c>
      <c r="H51" s="168" t="e">
        <f>IF('Input Values'!AB52&gt;0,"is elevated by","is deficient by")</f>
        <v>#DIV/0!</v>
      </c>
      <c r="I51" s="169" t="e">
        <f>'Input Values'!AB52</f>
        <v>#DIV/0!</v>
      </c>
      <c r="J51" s="135" t="s">
        <v>190</v>
      </c>
    </row>
    <row r="52" spans="1:10" ht="16" customHeight="1">
      <c r="A52" s="134"/>
      <c r="B52" s="1"/>
      <c r="C52" s="165"/>
      <c r="D52" s="2"/>
      <c r="E52" s="165"/>
      <c r="F52" s="2"/>
      <c r="G52" s="167"/>
      <c r="H52" s="168"/>
      <c r="I52" s="169"/>
      <c r="J52" s="135"/>
    </row>
    <row r="53" spans="1:10" ht="16" customHeight="1">
      <c r="A53" s="134" t="s">
        <v>82</v>
      </c>
      <c r="B53" s="1" t="s">
        <v>18</v>
      </c>
      <c r="C53" s="165">
        <f>'Input Values'!C53</f>
        <v>0</v>
      </c>
      <c r="D53" s="2" t="s">
        <v>115</v>
      </c>
      <c r="E53" s="165">
        <f>'Input Values'!AA53</f>
        <v>0</v>
      </c>
      <c r="F53" s="2" t="s">
        <v>115</v>
      </c>
      <c r="G53" s="167" t="str">
        <f t="shared" si="0"/>
        <v>Potassium</v>
      </c>
      <c r="H53" s="168" t="e">
        <f>IF('Input Values'!AB53&gt;0,"is elevated by","is deficient by")</f>
        <v>#DIV/0!</v>
      </c>
      <c r="I53" s="169" t="e">
        <f>'Input Values'!AB53</f>
        <v>#DIV/0!</v>
      </c>
      <c r="J53" s="135" t="e">
        <f>IF(I53&lt;0,"The value is deficient and should be increased gradually by applying Isol8 K as directed on the dosing tabs.","Elevated concentration should be permitted to gradually drop until next ICP analysis indicates a value closer to the standard.")</f>
        <v>#DIV/0!</v>
      </c>
    </row>
    <row r="54" spans="1:10" ht="16" customHeight="1">
      <c r="A54" s="134"/>
      <c r="B54" s="1"/>
      <c r="C54" s="165"/>
      <c r="D54" s="2"/>
      <c r="E54" s="165"/>
      <c r="F54" s="2"/>
      <c r="G54" s="167"/>
      <c r="H54" s="168"/>
      <c r="I54" s="169"/>
      <c r="J54" s="135"/>
    </row>
    <row r="55" spans="1:10" ht="16" customHeight="1">
      <c r="A55" s="134" t="s">
        <v>83</v>
      </c>
      <c r="B55" s="1" t="s">
        <v>19</v>
      </c>
      <c r="C55" s="165">
        <f>'Input Values'!C54</f>
        <v>0</v>
      </c>
      <c r="D55" s="2" t="s">
        <v>115</v>
      </c>
      <c r="E55" s="165">
        <f>'Input Values'!AA54</f>
        <v>0</v>
      </c>
      <c r="F55" s="2" t="s">
        <v>115</v>
      </c>
      <c r="G55" s="167" t="str">
        <f t="shared" si="0"/>
        <v>Lithium</v>
      </c>
      <c r="H55" s="168" t="e">
        <f>IF('Input Values'!AB54&gt;0,"is elevated by","is deficient by")</f>
        <v>#DIV/0!</v>
      </c>
      <c r="I55" s="169" t="e">
        <f>'Input Values'!AB54</f>
        <v>#DIV/0!</v>
      </c>
      <c r="J55" s="135" t="s">
        <v>190</v>
      </c>
    </row>
    <row r="56" spans="1:10" ht="16" customHeight="1">
      <c r="A56" s="134"/>
      <c r="B56" s="1"/>
      <c r="C56" s="165"/>
      <c r="D56" s="2"/>
      <c r="E56" s="165"/>
      <c r="F56" s="2"/>
      <c r="G56" s="167"/>
      <c r="H56" s="168"/>
      <c r="I56" s="169"/>
      <c r="J56" s="135"/>
    </row>
    <row r="57" spans="1:10" ht="16" customHeight="1">
      <c r="A57" s="134" t="s">
        <v>84</v>
      </c>
      <c r="B57" s="1" t="s">
        <v>20</v>
      </c>
      <c r="C57" s="165">
        <f>'Input Values'!C55</f>
        <v>0</v>
      </c>
      <c r="D57" s="2" t="s">
        <v>115</v>
      </c>
      <c r="E57" s="165">
        <f>'Input Values'!AA55</f>
        <v>0</v>
      </c>
      <c r="F57" s="2" t="s">
        <v>115</v>
      </c>
      <c r="G57" s="167" t="str">
        <f t="shared" si="0"/>
        <v>Magnesium</v>
      </c>
      <c r="H57" s="168" t="e">
        <f>IF('Input Values'!AB55&gt;0,"is elevated by","is deficient by")</f>
        <v>#DIV/0!</v>
      </c>
      <c r="I57" s="169" t="e">
        <f>'Input Values'!AB55</f>
        <v>#DIV/0!</v>
      </c>
      <c r="J57" s="135" t="e">
        <f>IF(I57&lt;0,"The value is deficient and should be increased gradually by applying Isol8 Mg as directed on the dosing tabs.","Elevated concentration should be permitted to gradually drop until next ICP analysis indicates a value closer to the standard.")</f>
        <v>#DIV/0!</v>
      </c>
    </row>
    <row r="58" spans="1:10" ht="16" customHeight="1">
      <c r="A58" s="134"/>
      <c r="B58" s="1"/>
      <c r="C58" s="165"/>
      <c r="D58" s="2"/>
      <c r="E58" s="165"/>
      <c r="F58" s="2"/>
      <c r="G58" s="167"/>
      <c r="H58" s="168"/>
      <c r="I58" s="169"/>
      <c r="J58" s="135"/>
    </row>
    <row r="59" spans="1:10" ht="16" customHeight="1">
      <c r="A59" s="134" t="s">
        <v>85</v>
      </c>
      <c r="B59" s="1" t="s">
        <v>21</v>
      </c>
      <c r="C59" s="165">
        <f>'Input Values'!C56</f>
        <v>0</v>
      </c>
      <c r="D59" s="2" t="s">
        <v>115</v>
      </c>
      <c r="E59" s="165">
        <f>'Input Values'!AA56</f>
        <v>0</v>
      </c>
      <c r="F59" s="2" t="s">
        <v>115</v>
      </c>
      <c r="G59" s="167" t="str">
        <f t="shared" si="0"/>
        <v>Manganese</v>
      </c>
      <c r="H59" s="168" t="e">
        <f>IF('Input Values'!AB56&gt;0,"is elevated by","is deficient by")</f>
        <v>#DIV/0!</v>
      </c>
      <c r="I59" s="169" t="e">
        <f>'Input Values'!AB56</f>
        <v>#DIV/0!</v>
      </c>
      <c r="J59" s="135" t="e">
        <f>IF(I59&lt;0,"The value is deficient and should be increased gradually by applying Isol8 Mn as directed on the dosing tabs.","Elevated concentration should be permitted to gradually drop until next ICP analysis indicates a value closer to the standard.")</f>
        <v>#DIV/0!</v>
      </c>
    </row>
    <row r="60" spans="1:10" ht="16" customHeight="1">
      <c r="A60" s="134"/>
      <c r="B60" s="1"/>
      <c r="C60" s="165"/>
      <c r="D60" s="2"/>
      <c r="E60" s="165"/>
      <c r="F60" s="2"/>
      <c r="G60" s="167"/>
      <c r="H60" s="168"/>
      <c r="I60" s="169"/>
      <c r="J60" s="135"/>
    </row>
    <row r="61" spans="1:10" ht="16" customHeight="1">
      <c r="A61" s="134" t="s">
        <v>86</v>
      </c>
      <c r="B61" s="1" t="s">
        <v>22</v>
      </c>
      <c r="C61" s="165">
        <f>'Input Values'!C57</f>
        <v>0</v>
      </c>
      <c r="D61" s="2" t="s">
        <v>115</v>
      </c>
      <c r="E61" s="165">
        <f>'Input Values'!AA57</f>
        <v>0</v>
      </c>
      <c r="F61" s="2" t="s">
        <v>115</v>
      </c>
      <c r="G61" s="167" t="str">
        <f t="shared" si="0"/>
        <v>Molybdenum</v>
      </c>
      <c r="H61" s="168" t="e">
        <f>IF('Input Values'!AB57&gt;0,"is elevated by","is deficient by")</f>
        <v>#DIV/0!</v>
      </c>
      <c r="I61" s="169" t="e">
        <f>'Input Values'!AB57</f>
        <v>#DIV/0!</v>
      </c>
      <c r="J61" s="135" t="e">
        <f>IF(I61&lt;0,"The value is deficient and should be increased gradually by applying Isol8 Mo as directed on the dosing tabs.","Elevated concentration should be permitted to gradually drop until next ICP analysis indicates a value closer to the standard.")</f>
        <v>#DIV/0!</v>
      </c>
    </row>
    <row r="62" spans="1:10" ht="16" customHeight="1">
      <c r="A62" s="134"/>
      <c r="B62" s="1"/>
      <c r="C62" s="165"/>
      <c r="D62" s="2"/>
      <c r="E62" s="165"/>
      <c r="F62" s="2"/>
      <c r="G62" s="167"/>
      <c r="H62" s="168"/>
      <c r="I62" s="169"/>
      <c r="J62" s="135"/>
    </row>
    <row r="63" spans="1:10" ht="16" customHeight="1">
      <c r="A63" s="134" t="s">
        <v>87</v>
      </c>
      <c r="B63" s="1" t="s">
        <v>23</v>
      </c>
      <c r="C63" s="165">
        <f>'Input Values'!C58</f>
        <v>0</v>
      </c>
      <c r="D63" s="2" t="s">
        <v>115</v>
      </c>
      <c r="E63" s="165">
        <f>'Input Values'!AA58</f>
        <v>0</v>
      </c>
      <c r="F63" s="2" t="s">
        <v>115</v>
      </c>
      <c r="G63" s="167" t="str">
        <f t="shared" si="0"/>
        <v>Sodium</v>
      </c>
      <c r="H63" s="168" t="e">
        <f>IF('Input Values'!AB58&gt;0,"is elevated by","is deficient by")</f>
        <v>#DIV/0!</v>
      </c>
      <c r="I63" s="169" t="e">
        <f>'Input Values'!AB58</f>
        <v>#DIV/0!</v>
      </c>
      <c r="J63" s="134" t="s">
        <v>150</v>
      </c>
    </row>
    <row r="64" spans="1:10" ht="16" customHeight="1">
      <c r="A64" s="134"/>
      <c r="B64" s="1"/>
      <c r="C64" s="165"/>
      <c r="D64" s="2"/>
      <c r="E64" s="165"/>
      <c r="F64" s="2"/>
      <c r="G64" s="167"/>
      <c r="H64" s="168"/>
      <c r="I64" s="169"/>
      <c r="J64" s="134"/>
    </row>
    <row r="65" spans="1:10" ht="16" customHeight="1">
      <c r="A65" s="134" t="s">
        <v>88</v>
      </c>
      <c r="B65" s="1" t="s">
        <v>24</v>
      </c>
      <c r="C65" s="165">
        <f>'Input Values'!C59</f>
        <v>0</v>
      </c>
      <c r="D65" s="2" t="s">
        <v>115</v>
      </c>
      <c r="E65" s="165">
        <f>'Input Values'!AA59</f>
        <v>0</v>
      </c>
      <c r="F65" s="2" t="s">
        <v>115</v>
      </c>
      <c r="G65" s="167" t="str">
        <f t="shared" si="0"/>
        <v>Nickel</v>
      </c>
      <c r="H65" s="168" t="e">
        <f>IF('Input Values'!AB59&gt;0,"is elevated by","is deficient by")</f>
        <v>#DIV/0!</v>
      </c>
      <c r="I65" s="169" t="e">
        <f>'Input Values'!AB59</f>
        <v>#DIV/0!</v>
      </c>
      <c r="J65" s="135" t="e">
        <f>IF(I65&lt;0,"The value is deficient and should be increased gradually by applying Isol8 Ni as directed on the dosing tabs.","Elevated concentration should be permitted to gradually drop until next ICP analysis indicates a value closer to the standard.")</f>
        <v>#DIV/0!</v>
      </c>
    </row>
    <row r="66" spans="1:10" ht="16" customHeight="1">
      <c r="A66" s="134"/>
      <c r="B66" s="1"/>
      <c r="C66" s="165"/>
      <c r="D66" s="2"/>
      <c r="E66" s="165"/>
      <c r="F66" s="2"/>
      <c r="G66" s="167"/>
      <c r="H66" s="168"/>
      <c r="I66" s="169"/>
      <c r="J66" s="135"/>
    </row>
    <row r="67" spans="1:10" ht="16" customHeight="1">
      <c r="A67" s="134" t="s">
        <v>89</v>
      </c>
      <c r="B67" s="1" t="s">
        <v>25</v>
      </c>
      <c r="C67" s="165">
        <f>'Input Values'!C60</f>
        <v>0</v>
      </c>
      <c r="D67" s="2" t="s">
        <v>115</v>
      </c>
      <c r="E67" s="165">
        <f>'Input Values'!AA60</f>
        <v>0</v>
      </c>
      <c r="F67" s="2" t="s">
        <v>115</v>
      </c>
      <c r="G67" s="167" t="str">
        <f t="shared" si="0"/>
        <v>Lead</v>
      </c>
      <c r="H67" s="168" t="e">
        <f>IF('Input Values'!AB60&gt;0,"is elevated by","is deficient by")</f>
        <v>#DIV/0!</v>
      </c>
      <c r="I67" s="169" t="e">
        <f>'Input Values'!AB60</f>
        <v>#DIV/0!</v>
      </c>
      <c r="J67" s="135" t="s">
        <v>190</v>
      </c>
    </row>
    <row r="68" spans="1:10" ht="16" customHeight="1">
      <c r="A68" s="134"/>
      <c r="B68" s="1"/>
      <c r="C68" s="165"/>
      <c r="D68" s="2"/>
      <c r="E68" s="165"/>
      <c r="F68" s="2"/>
      <c r="G68" s="167"/>
      <c r="H68" s="168"/>
      <c r="I68" s="169"/>
      <c r="J68" s="135"/>
    </row>
    <row r="69" spans="1:10" ht="16" customHeight="1">
      <c r="A69" s="134" t="s">
        <v>90</v>
      </c>
      <c r="B69" s="1" t="s">
        <v>26</v>
      </c>
      <c r="C69" s="165">
        <f>'Input Values'!C61</f>
        <v>0</v>
      </c>
      <c r="D69" s="2" t="s">
        <v>115</v>
      </c>
      <c r="E69" s="165">
        <f>'Input Values'!AA61</f>
        <v>0</v>
      </c>
      <c r="F69" s="2" t="s">
        <v>115</v>
      </c>
      <c r="G69" s="167" t="str">
        <f t="shared" si="0"/>
        <v>Rubidium</v>
      </c>
      <c r="H69" s="168" t="e">
        <f>IF('Input Values'!AB61&gt;0,"is elevated by","is deficient by")</f>
        <v>#DIV/0!</v>
      </c>
      <c r="I69" s="169" t="e">
        <f>'Input Values'!AB61</f>
        <v>#DIV/0!</v>
      </c>
      <c r="J69" s="135" t="e">
        <f>IF(I69&lt;0,"The value is deficient and should be increased gradually by applying Isol8 Rb as directed on the dosing tabs.","Elevated concentration should be permitted to gradually drop until next ICP analysis indicates a value closer to the standard.")</f>
        <v>#DIV/0!</v>
      </c>
    </row>
    <row r="70" spans="1:10" ht="16" customHeight="1">
      <c r="A70" s="134"/>
      <c r="B70" s="1"/>
      <c r="C70" s="165"/>
      <c r="D70" s="2"/>
      <c r="E70" s="165"/>
      <c r="F70" s="2"/>
      <c r="G70" s="167"/>
      <c r="H70" s="168"/>
      <c r="I70" s="169"/>
      <c r="J70" s="135"/>
    </row>
    <row r="71" spans="1:10" ht="16" customHeight="1">
      <c r="A71" s="134" t="s">
        <v>91</v>
      </c>
      <c r="B71" s="1" t="s">
        <v>27</v>
      </c>
      <c r="C71" s="165">
        <f>'Input Values'!C62</f>
        <v>0</v>
      </c>
      <c r="D71" s="2" t="s">
        <v>115</v>
      </c>
      <c r="E71" s="165">
        <f>'Input Values'!AA62</f>
        <v>0</v>
      </c>
      <c r="F71" s="2" t="s">
        <v>115</v>
      </c>
      <c r="G71" s="167" t="str">
        <f t="shared" si="0"/>
        <v>Sulfur</v>
      </c>
      <c r="H71" s="168" t="e">
        <f>IF('Input Values'!AB62&gt;0,"is elevated by","is deficient by")</f>
        <v>#DIV/0!</v>
      </c>
      <c r="I71" s="169" t="e">
        <f>'Input Values'!AB62</f>
        <v>#DIV/0!</v>
      </c>
      <c r="J71" s="134" t="s">
        <v>148</v>
      </c>
    </row>
    <row r="72" spans="1:10" ht="16" customHeight="1">
      <c r="A72" s="134"/>
      <c r="B72" s="1"/>
      <c r="C72" s="165"/>
      <c r="D72" s="2"/>
      <c r="E72" s="165"/>
      <c r="F72" s="2"/>
      <c r="G72" s="167"/>
      <c r="H72" s="168"/>
      <c r="I72" s="169"/>
      <c r="J72" s="134"/>
    </row>
    <row r="73" spans="1:10" ht="16" customHeight="1">
      <c r="A73" s="134" t="s">
        <v>92</v>
      </c>
      <c r="B73" s="1" t="s">
        <v>28</v>
      </c>
      <c r="C73" s="165">
        <f>'Input Values'!C63</f>
        <v>0</v>
      </c>
      <c r="D73" s="2" t="s">
        <v>115</v>
      </c>
      <c r="E73" s="165">
        <f>'Input Values'!AA63</f>
        <v>0</v>
      </c>
      <c r="F73" s="2" t="s">
        <v>115</v>
      </c>
      <c r="G73" s="167" t="str">
        <f t="shared" si="0"/>
        <v>Selenium</v>
      </c>
      <c r="H73" s="168" t="e">
        <f>IF('Input Values'!AB63&gt;0,"is elevated by","is deficient by")</f>
        <v>#DIV/0!</v>
      </c>
      <c r="I73" s="169" t="e">
        <f>'Input Values'!AB63</f>
        <v>#DIV/0!</v>
      </c>
      <c r="J73" s="135" t="e">
        <f>IF(I73&lt;0,"The value is deficient and should be increased gradually by applying Isol8 Se as directed on the dosing tabs.","Elevated concentration should be permitted to gradually drop until next ICP analysis indicates a value closer to the standard.")</f>
        <v>#DIV/0!</v>
      </c>
    </row>
    <row r="74" spans="1:10" ht="16" customHeight="1">
      <c r="A74" s="134"/>
      <c r="B74" s="1"/>
      <c r="C74" s="165"/>
      <c r="D74" s="2"/>
      <c r="E74" s="165"/>
      <c r="F74" s="2"/>
      <c r="G74" s="167"/>
      <c r="H74" s="168"/>
      <c r="I74" s="169"/>
      <c r="J74" s="135"/>
    </row>
    <row r="75" spans="1:10" ht="16" customHeight="1">
      <c r="A75" s="134" t="s">
        <v>93</v>
      </c>
      <c r="B75" s="1" t="s">
        <v>29</v>
      </c>
      <c r="C75" s="165">
        <f>'Input Values'!C64</f>
        <v>0</v>
      </c>
      <c r="D75" s="2" t="s">
        <v>115</v>
      </c>
      <c r="E75" s="165">
        <f>'Input Values'!AA64</f>
        <v>0</v>
      </c>
      <c r="F75" s="2" t="s">
        <v>115</v>
      </c>
      <c r="G75" s="167" t="str">
        <f t="shared" si="0"/>
        <v>Silicon</v>
      </c>
      <c r="H75" s="168" t="e">
        <f>IF('Input Values'!AB64&gt;0,"is elevated by","is deficient by")</f>
        <v>#DIV/0!</v>
      </c>
      <c r="I75" s="169" t="e">
        <f>'Input Values'!AB64</f>
        <v>#DIV/0!</v>
      </c>
      <c r="J75" s="135" t="e">
        <f>IF(I75&lt;0,"The value is deficient and, if the system is being used to intentionally grow sponges, should be increased gradually by applying Isol8 Si as directed on the dosing tabs; otherwise, do not dose Si outside of special circumstances.","Elevated concentration should be permitted to gradually drop until next ICP analysis indicates a value closer to the standard.")</f>
        <v>#DIV/0!</v>
      </c>
    </row>
    <row r="76" spans="1:10" ht="16" customHeight="1">
      <c r="A76" s="134"/>
      <c r="B76" s="1"/>
      <c r="C76" s="165"/>
      <c r="D76" s="2"/>
      <c r="E76" s="165"/>
      <c r="F76" s="2"/>
      <c r="G76" s="167"/>
      <c r="H76" s="168"/>
      <c r="I76" s="169"/>
      <c r="J76" s="135"/>
    </row>
    <row r="77" spans="1:10" ht="16" customHeight="1">
      <c r="A77" s="134" t="s">
        <v>94</v>
      </c>
      <c r="B77" s="1" t="s">
        <v>30</v>
      </c>
      <c r="C77" s="165">
        <f>'Input Values'!C65</f>
        <v>0</v>
      </c>
      <c r="D77" s="2" t="s">
        <v>115</v>
      </c>
      <c r="E77" s="165">
        <f>'Input Values'!AA65</f>
        <v>0</v>
      </c>
      <c r="F77" s="2" t="s">
        <v>115</v>
      </c>
      <c r="G77" s="167" t="str">
        <f t="shared" si="0"/>
        <v>Strontium</v>
      </c>
      <c r="H77" s="168" t="e">
        <f>IF('Input Values'!AB65&gt;0,"is elevated by","is deficient by")</f>
        <v>#DIV/0!</v>
      </c>
      <c r="I77" s="169" t="e">
        <f>'Input Values'!AB65</f>
        <v>#DIV/0!</v>
      </c>
      <c r="J77" s="135" t="e">
        <f>IF(I77&lt;0,"The value is deficient and should be increased gradually by applying Isol8 Sr as directed on the dosing tabs.","Elevated concentration should be permitted to gradually drop until next ICP analysis indicates a value closer to the standard.")</f>
        <v>#DIV/0!</v>
      </c>
    </row>
    <row r="78" spans="1:10" ht="16" customHeight="1">
      <c r="A78" s="134"/>
      <c r="B78" s="1"/>
      <c r="C78" s="165"/>
      <c r="D78" s="2"/>
      <c r="E78" s="165"/>
      <c r="F78" s="2"/>
      <c r="G78" s="167"/>
      <c r="H78" s="168"/>
      <c r="I78" s="169"/>
      <c r="J78" s="135"/>
    </row>
    <row r="79" spans="1:10" ht="16" customHeight="1">
      <c r="A79" s="134" t="s">
        <v>95</v>
      </c>
      <c r="B79" s="1" t="s">
        <v>34</v>
      </c>
      <c r="C79" s="165">
        <f>'Input Values'!C66</f>
        <v>0</v>
      </c>
      <c r="D79" s="2" t="s">
        <v>115</v>
      </c>
      <c r="E79" s="165">
        <f>'Input Values'!AA66</f>
        <v>0</v>
      </c>
      <c r="F79" s="2" t="s">
        <v>115</v>
      </c>
      <c r="G79" s="167" t="str">
        <f t="shared" si="0"/>
        <v>Thallium</v>
      </c>
      <c r="H79" s="168" t="e">
        <f>IF('Input Values'!AB66&gt;0,"is elevated by","is deficient by")</f>
        <v>#DIV/0!</v>
      </c>
      <c r="I79" s="169" t="e">
        <f>'Input Values'!AB66</f>
        <v>#DIV/0!</v>
      </c>
      <c r="J79" s="135" t="s">
        <v>190</v>
      </c>
    </row>
    <row r="80" spans="1:10" ht="16" customHeight="1">
      <c r="A80" s="134"/>
      <c r="B80" s="1"/>
      <c r="C80" s="165"/>
      <c r="D80" s="2"/>
      <c r="E80" s="165"/>
      <c r="F80" s="2"/>
      <c r="G80" s="167"/>
      <c r="H80" s="168"/>
      <c r="I80" s="169"/>
      <c r="J80" s="135"/>
    </row>
    <row r="81" spans="1:10" ht="16" customHeight="1">
      <c r="A81" s="134" t="s">
        <v>96</v>
      </c>
      <c r="B81" s="1" t="s">
        <v>31</v>
      </c>
      <c r="C81" s="165">
        <f>'Input Values'!C67</f>
        <v>0</v>
      </c>
      <c r="D81" s="2" t="s">
        <v>115</v>
      </c>
      <c r="E81" s="165">
        <f>'Input Values'!AA67</f>
        <v>0</v>
      </c>
      <c r="F81" s="2" t="s">
        <v>115</v>
      </c>
      <c r="G81" s="167" t="str">
        <f t="shared" si="0"/>
        <v>Uranium</v>
      </c>
      <c r="H81" s="168" t="e">
        <f>IF('Input Values'!AB67&gt;0,"is elevated by","is deficient by")</f>
        <v>#DIV/0!</v>
      </c>
      <c r="I81" s="169" t="e">
        <f>'Input Values'!AB67</f>
        <v>#DIV/0!</v>
      </c>
      <c r="J81" s="135" t="s">
        <v>190</v>
      </c>
    </row>
    <row r="82" spans="1:10" ht="16" customHeight="1">
      <c r="A82" s="134"/>
      <c r="B82" s="1"/>
      <c r="C82" s="165"/>
      <c r="D82" s="2"/>
      <c r="E82" s="165"/>
      <c r="F82" s="2"/>
      <c r="G82" s="167"/>
      <c r="H82" s="168"/>
      <c r="I82" s="169"/>
      <c r="J82" s="135"/>
    </row>
    <row r="83" spans="1:10" ht="16" customHeight="1">
      <c r="A83" s="134" t="s">
        <v>97</v>
      </c>
      <c r="B83" s="1" t="s">
        <v>32</v>
      </c>
      <c r="C83" s="165">
        <f>'Input Values'!C68</f>
        <v>0</v>
      </c>
      <c r="D83" s="2" t="s">
        <v>115</v>
      </c>
      <c r="E83" s="165">
        <f>'Input Values'!AA68</f>
        <v>0</v>
      </c>
      <c r="F83" s="2" t="s">
        <v>115</v>
      </c>
      <c r="G83" s="167" t="str">
        <f t="shared" si="0"/>
        <v>Vanadium</v>
      </c>
      <c r="H83" s="168" t="e">
        <f>IF('Input Values'!AB68&gt;0,"is elevated by","is deficient by")</f>
        <v>#DIV/0!</v>
      </c>
      <c r="I83" s="169" t="e">
        <f>'Input Values'!AB68</f>
        <v>#DIV/0!</v>
      </c>
      <c r="J83" s="135" t="e">
        <f>IF(I83&lt;0,"The value is deficient and should be increased gradually by applying Isol8 V as directed on the dosing tabs.","Elevated concentration should be permitted to gradually drop until next ICP analysis indicates a value closer to the standard.")</f>
        <v>#DIV/0!</v>
      </c>
    </row>
    <row r="84" spans="1:10" ht="16" customHeight="1">
      <c r="A84" s="134"/>
      <c r="B84" s="1"/>
      <c r="C84" s="165"/>
      <c r="D84" s="2"/>
      <c r="E84" s="165"/>
      <c r="F84" s="2"/>
      <c r="G84" s="167"/>
      <c r="H84" s="168"/>
      <c r="I84" s="169"/>
      <c r="J84" s="135"/>
    </row>
    <row r="85" spans="1:10" ht="16" customHeight="1">
      <c r="A85" s="134" t="s">
        <v>98</v>
      </c>
      <c r="B85" s="1" t="s">
        <v>33</v>
      </c>
      <c r="C85" s="165">
        <f>'Input Values'!C69</f>
        <v>0</v>
      </c>
      <c r="D85" s="2" t="s">
        <v>115</v>
      </c>
      <c r="E85" s="165">
        <f>'Input Values'!AA69</f>
        <v>0</v>
      </c>
      <c r="F85" s="2" t="s">
        <v>115</v>
      </c>
      <c r="G85" s="167" t="str">
        <f t="shared" si="0"/>
        <v>Zinc</v>
      </c>
      <c r="H85" s="168" t="e">
        <f>IF('Input Values'!AB69&gt;0,"is elevated by","is deficient by")</f>
        <v>#DIV/0!</v>
      </c>
      <c r="I85" s="169" t="e">
        <f>'Input Values'!AB69</f>
        <v>#DIV/0!</v>
      </c>
      <c r="J85" s="135" t="e">
        <f>IF(I85&lt;0,"The value is deficient and should be increased gradually by applying Isol8 Zn as directed on the dosing tabs.","Elevated concentration should be permitted to gradually drop until next ICP analysis indicates a value closer to the standard.")</f>
        <v>#DIV/0!</v>
      </c>
    </row>
    <row r="90" spans="1:10">
      <c r="B90" s="132"/>
      <c r="C90" s="132"/>
      <c r="D90" s="132"/>
      <c r="E90" s="132"/>
      <c r="F90" s="132"/>
      <c r="G90" s="132"/>
      <c r="H90" s="132"/>
      <c r="I90" s="132"/>
    </row>
    <row r="91" spans="1:10">
      <c r="B91" s="132"/>
      <c r="C91" s="132"/>
      <c r="D91" s="132"/>
      <c r="E91" s="132"/>
      <c r="F91" s="132"/>
      <c r="G91" s="132"/>
      <c r="H91" s="132"/>
      <c r="I91" s="132"/>
    </row>
    <row r="92" spans="1:10">
      <c r="A92" s="132"/>
      <c r="B92" s="132"/>
      <c r="C92" s="132"/>
      <c r="D92" s="132"/>
      <c r="E92" s="132"/>
      <c r="F92" s="132"/>
      <c r="G92" s="132"/>
      <c r="H92" s="132"/>
      <c r="I92" s="132"/>
    </row>
  </sheetData>
  <sheetProtection password="F283" sheet="1" objects="1" scenarios="1" selectLockedCells="1" selectUnlockedCells="1"/>
  <mergeCells count="7">
    <mergeCell ref="A3:I4"/>
    <mergeCell ref="A8:I10"/>
    <mergeCell ref="J14:Y14"/>
    <mergeCell ref="A12:D12"/>
    <mergeCell ref="A14:D14"/>
    <mergeCell ref="E14:F14"/>
    <mergeCell ref="G14:I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AE88"/>
  <sheetViews>
    <sheetView windowProtection="1" zoomScale="150" zoomScaleNormal="150" zoomScalePageLayoutView="150" workbookViewId="0">
      <selection activeCell="E22" sqref="E22"/>
    </sheetView>
  </sheetViews>
  <sheetFormatPr baseColWidth="10" defaultRowHeight="16" x14ac:dyDescent="0"/>
  <cols>
    <col min="1" max="3" width="10.625" style="56"/>
    <col min="4" max="4" width="14.25" style="56" customWidth="1"/>
    <col min="5" max="6" width="10.625" style="56"/>
    <col min="7" max="7" width="2.625" style="56" customWidth="1"/>
    <col min="8" max="10" width="10.625" style="56"/>
    <col min="11" max="11" width="24.5" style="56" customWidth="1"/>
    <col min="12" max="14" width="10.625" style="56"/>
    <col min="15" max="17" width="10.625" style="166"/>
    <col min="18" max="26" width="10.625" style="56"/>
    <col min="27" max="28" width="9.75" style="56" bestFit="1" customWidth="1"/>
    <col min="29" max="29" width="9.875" style="56" bestFit="1" customWidth="1"/>
    <col min="30" max="16384" width="10.625" style="56"/>
  </cols>
  <sheetData>
    <row r="1" spans="1:1">
      <c r="A1" s="55" t="s">
        <v>170</v>
      </c>
    </row>
    <row r="2" spans="1:1">
      <c r="A2" s="55"/>
    </row>
    <row r="3" spans="1:1">
      <c r="A3" s="4" t="s">
        <v>201</v>
      </c>
    </row>
    <row r="4" spans="1:1">
      <c r="A4" s="55"/>
    </row>
    <row r="5" spans="1:1">
      <c r="A5" s="34" t="s">
        <v>183</v>
      </c>
    </row>
    <row r="6" spans="1:1">
      <c r="A6" s="34"/>
    </row>
    <row r="7" spans="1:1">
      <c r="A7" s="34" t="s">
        <v>216</v>
      </c>
    </row>
    <row r="8" spans="1:1">
      <c r="A8" s="34"/>
    </row>
    <row r="9" spans="1:1">
      <c r="A9" s="56" t="s">
        <v>196</v>
      </c>
    </row>
    <row r="11" spans="1:1">
      <c r="A11" s="56" t="s">
        <v>186</v>
      </c>
    </row>
    <row r="13" spans="1:1">
      <c r="A13" s="80" t="s">
        <v>184</v>
      </c>
    </row>
    <row r="15" spans="1:1">
      <c r="A15" s="56" t="s">
        <v>173</v>
      </c>
    </row>
    <row r="17" spans="1:31">
      <c r="A17" s="56" t="s">
        <v>185</v>
      </c>
    </row>
    <row r="19" spans="1:31">
      <c r="A19" s="270" t="s">
        <v>177</v>
      </c>
      <c r="B19" s="271"/>
      <c r="C19" s="271"/>
      <c r="D19" s="271"/>
      <c r="E19" s="271"/>
      <c r="F19" s="271"/>
    </row>
    <row r="20" spans="1:31" ht="17" thickBot="1"/>
    <row r="21" spans="1:31" ht="17" thickBot="1">
      <c r="A21" s="205" t="s">
        <v>194</v>
      </c>
      <c r="B21" s="206"/>
      <c r="C21" s="206"/>
      <c r="D21" s="206"/>
      <c r="E21" s="206"/>
      <c r="F21" s="207"/>
      <c r="H21" s="154" t="s">
        <v>195</v>
      </c>
      <c r="I21" s="57"/>
      <c r="J21" s="57"/>
      <c r="K21" s="57"/>
      <c r="L21" s="57"/>
      <c r="M21" s="59"/>
    </row>
    <row r="22" spans="1:31">
      <c r="A22" s="287" t="s">
        <v>131</v>
      </c>
      <c r="B22" s="283" t="s">
        <v>204</v>
      </c>
      <c r="C22" s="284"/>
      <c r="D22" s="284"/>
      <c r="E22" s="153">
        <v>30</v>
      </c>
      <c r="F22" s="140" t="s">
        <v>125</v>
      </c>
      <c r="H22" s="272" t="s">
        <v>133</v>
      </c>
      <c r="I22" s="57"/>
      <c r="J22" s="57"/>
      <c r="K22" s="65" t="s">
        <v>175</v>
      </c>
      <c r="L22" s="58">
        <f>'Input Values'!C29</f>
        <v>0</v>
      </c>
      <c r="M22" s="59" t="s">
        <v>125</v>
      </c>
    </row>
    <row r="23" spans="1:31" ht="17" thickBot="1">
      <c r="A23" s="288"/>
      <c r="B23" s="285"/>
      <c r="C23" s="285"/>
      <c r="D23" s="285"/>
      <c r="E23" s="159"/>
      <c r="F23" s="152"/>
      <c r="H23" s="273"/>
      <c r="I23" s="60"/>
      <c r="J23" s="60"/>
      <c r="K23" s="61" t="s">
        <v>171</v>
      </c>
      <c r="L23" s="62">
        <v>1</v>
      </c>
      <c r="M23" s="63" t="s">
        <v>129</v>
      </c>
    </row>
    <row r="24" spans="1:31">
      <c r="A24" s="288"/>
      <c r="B24" s="285"/>
      <c r="C24" s="285"/>
      <c r="D24" s="285"/>
      <c r="E24" s="158"/>
      <c r="F24" s="281"/>
      <c r="H24" s="272" t="s">
        <v>134</v>
      </c>
      <c r="I24" s="274" t="s">
        <v>130</v>
      </c>
      <c r="J24" s="275"/>
      <c r="K24" s="275"/>
      <c r="L24" s="277">
        <f>L23/2</f>
        <v>0.5</v>
      </c>
      <c r="M24" s="279" t="s">
        <v>129</v>
      </c>
      <c r="AA24" s="341"/>
      <c r="AB24" s="341"/>
      <c r="AC24" s="341"/>
    </row>
    <row r="25" spans="1:31" ht="17" thickBot="1">
      <c r="A25" s="289"/>
      <c r="B25" s="286"/>
      <c r="C25" s="286"/>
      <c r="D25" s="286"/>
      <c r="E25" s="208"/>
      <c r="F25" s="282"/>
      <c r="H25" s="273"/>
      <c r="I25" s="276"/>
      <c r="J25" s="276"/>
      <c r="K25" s="276"/>
      <c r="L25" s="278"/>
      <c r="M25" s="280"/>
      <c r="Y25" s="340"/>
      <c r="Z25" s="340"/>
      <c r="AA25" s="221" t="s">
        <v>198</v>
      </c>
      <c r="AB25" s="221" t="s">
        <v>199</v>
      </c>
      <c r="AC25" s="221" t="s">
        <v>200</v>
      </c>
      <c r="AD25" s="340"/>
      <c r="AE25" s="340"/>
    </row>
    <row r="26" spans="1:31">
      <c r="A26" s="142" t="s">
        <v>132</v>
      </c>
      <c r="B26" s="255" t="s">
        <v>205</v>
      </c>
      <c r="C26" s="256"/>
      <c r="D26" s="256"/>
      <c r="E26" s="155" t="s">
        <v>62</v>
      </c>
      <c r="F26" s="146" t="s">
        <v>160</v>
      </c>
      <c r="H26" s="64" t="s">
        <v>135</v>
      </c>
      <c r="I26" s="260" t="s">
        <v>191</v>
      </c>
      <c r="J26" s="261"/>
      <c r="K26" s="261"/>
      <c r="L26" s="66" t="s">
        <v>62</v>
      </c>
      <c r="M26" s="67" t="s">
        <v>160</v>
      </c>
      <c r="Y26" s="340"/>
      <c r="Z26" s="340"/>
      <c r="AA26" s="222" t="s">
        <v>62</v>
      </c>
      <c r="AB26" s="221" t="s">
        <v>62</v>
      </c>
      <c r="AC26" s="221" t="s">
        <v>62</v>
      </c>
      <c r="AD26" s="340"/>
      <c r="AE26" s="340"/>
    </row>
    <row r="27" spans="1:31">
      <c r="A27" s="142"/>
      <c r="B27" s="143"/>
      <c r="C27" s="144"/>
      <c r="D27" s="144" t="s">
        <v>41</v>
      </c>
      <c r="E27" s="145">
        <f>F27*0.05</f>
        <v>0</v>
      </c>
      <c r="F27" s="203">
        <v>0</v>
      </c>
      <c r="H27" s="78"/>
      <c r="I27" s="68"/>
      <c r="J27" s="69"/>
      <c r="K27" s="69" t="s">
        <v>41</v>
      </c>
      <c r="L27" s="70" t="e">
        <f t="shared" ref="L27:L47" si="0">IF((AC27)&lt;0,0,(AC27*$L$22))</f>
        <v>#DIV/0!</v>
      </c>
      <c r="M27" s="71" t="e">
        <f>ROUNDUP(L27*20,0)</f>
        <v>#DIV/0!</v>
      </c>
      <c r="Y27" s="340"/>
      <c r="Z27" s="340"/>
      <c r="AA27" s="223">
        <f t="shared" ref="AA27:AA47" si="1">E27/$E$22</f>
        <v>0</v>
      </c>
      <c r="AB27" s="224" t="e">
        <f>Admin!N14</f>
        <v>#DIV/0!</v>
      </c>
      <c r="AC27" s="224" t="e">
        <f>AB27+AA27</f>
        <v>#DIV/0!</v>
      </c>
      <c r="AD27" s="340"/>
      <c r="AE27" s="340"/>
    </row>
    <row r="28" spans="1:31">
      <c r="A28" s="142"/>
      <c r="B28" s="226"/>
      <c r="C28" s="227"/>
      <c r="D28" s="227" t="s">
        <v>219</v>
      </c>
      <c r="E28" s="145">
        <f>F28*0.05</f>
        <v>0</v>
      </c>
      <c r="F28" s="203">
        <v>0</v>
      </c>
      <c r="H28" s="225"/>
      <c r="I28" s="68"/>
      <c r="J28" s="69"/>
      <c r="K28" s="69" t="s">
        <v>219</v>
      </c>
      <c r="L28" s="70" t="e">
        <f t="shared" ref="L28" si="2">IF((AC28)&lt;0,0,(AC28*$L$22))</f>
        <v>#DIV/0!</v>
      </c>
      <c r="M28" s="71" t="e">
        <f>ROUNDUP(L28*20,0)</f>
        <v>#DIV/0!</v>
      </c>
      <c r="Y28" s="340"/>
      <c r="Z28" s="340"/>
      <c r="AA28" s="223">
        <f t="shared" ref="AA28" si="3">E28/$E$22</f>
        <v>0</v>
      </c>
      <c r="AB28" s="224" t="e">
        <f>Admin!N16</f>
        <v>#DIV/0!</v>
      </c>
      <c r="AC28" s="224" t="e">
        <f>AB28+AA28</f>
        <v>#DIV/0!</v>
      </c>
      <c r="AD28" s="340"/>
      <c r="AE28" s="340"/>
    </row>
    <row r="29" spans="1:31">
      <c r="A29" s="142"/>
      <c r="B29" s="143"/>
      <c r="C29" s="144"/>
      <c r="D29" s="144" t="s">
        <v>42</v>
      </c>
      <c r="E29" s="145">
        <f>F29*0.05</f>
        <v>0</v>
      </c>
      <c r="F29" s="203">
        <v>0</v>
      </c>
      <c r="H29" s="78"/>
      <c r="I29" s="68"/>
      <c r="J29" s="69"/>
      <c r="K29" s="69" t="s">
        <v>42</v>
      </c>
      <c r="L29" s="70" t="e">
        <f t="shared" si="0"/>
        <v>#DIV/0!</v>
      </c>
      <c r="M29" s="71" t="e">
        <f t="shared" ref="M29:M47" si="4">ROUNDUP(L29*20,0)</f>
        <v>#DIV/0!</v>
      </c>
      <c r="Y29" s="340"/>
      <c r="Z29" s="340"/>
      <c r="AA29" s="223">
        <f t="shared" si="1"/>
        <v>0</v>
      </c>
      <c r="AB29" s="224" t="e">
        <f>Admin!N22</f>
        <v>#DIV/0!</v>
      </c>
      <c r="AC29" s="224" t="e">
        <f t="shared" ref="AC29:AC47" si="5">AB29+AA29</f>
        <v>#DIV/0!</v>
      </c>
      <c r="AD29" s="340"/>
      <c r="AE29" s="340"/>
    </row>
    <row r="30" spans="1:31">
      <c r="A30" s="142"/>
      <c r="B30" s="143"/>
      <c r="C30" s="144"/>
      <c r="D30" s="144" t="s">
        <v>123</v>
      </c>
      <c r="E30" s="156">
        <v>0</v>
      </c>
      <c r="F30" s="146">
        <f>E30*20</f>
        <v>0</v>
      </c>
      <c r="H30" s="78"/>
      <c r="I30" s="68"/>
      <c r="J30" s="69"/>
      <c r="K30" s="69" t="s">
        <v>123</v>
      </c>
      <c r="L30" s="70" t="e">
        <f t="shared" si="0"/>
        <v>#DIV/0!</v>
      </c>
      <c r="M30" s="71" t="e">
        <f t="shared" si="4"/>
        <v>#DIV/0!</v>
      </c>
      <c r="Y30" s="340"/>
      <c r="Z30" s="340"/>
      <c r="AA30" s="223">
        <f t="shared" si="1"/>
        <v>0</v>
      </c>
      <c r="AB30" s="224" t="e">
        <f>Admin!N24</f>
        <v>#DIV/0!</v>
      </c>
      <c r="AC30" s="224" t="e">
        <f t="shared" si="5"/>
        <v>#DIV/0!</v>
      </c>
      <c r="AD30" s="340"/>
      <c r="AE30" s="340"/>
    </row>
    <row r="31" spans="1:31">
      <c r="A31" s="142"/>
      <c r="B31" s="143"/>
      <c r="C31" s="144"/>
      <c r="D31" s="147" t="s">
        <v>43</v>
      </c>
      <c r="E31" s="145">
        <f t="shared" ref="E31:E36" si="6">F31*0.05</f>
        <v>0</v>
      </c>
      <c r="F31" s="203">
        <v>0</v>
      </c>
      <c r="H31" s="78"/>
      <c r="I31" s="68"/>
      <c r="J31" s="69"/>
      <c r="K31" s="72" t="s">
        <v>43</v>
      </c>
      <c r="L31" s="70" t="e">
        <f t="shared" si="0"/>
        <v>#DIV/0!</v>
      </c>
      <c r="M31" s="71" t="e">
        <f t="shared" si="4"/>
        <v>#DIV/0!</v>
      </c>
      <c r="Y31" s="340"/>
      <c r="Z31" s="340"/>
      <c r="AA31" s="223">
        <f t="shared" si="1"/>
        <v>0</v>
      </c>
      <c r="AB31" s="224" t="e">
        <f>Admin!N30</f>
        <v>#DIV/0!</v>
      </c>
      <c r="AC31" s="224" t="e">
        <f t="shared" si="5"/>
        <v>#DIV/0!</v>
      </c>
      <c r="AD31" s="340"/>
      <c r="AE31" s="340"/>
    </row>
    <row r="32" spans="1:31">
      <c r="A32" s="142"/>
      <c r="B32" s="143"/>
      <c r="C32" s="144"/>
      <c r="D32" s="147" t="s">
        <v>122</v>
      </c>
      <c r="E32" s="145">
        <f t="shared" si="6"/>
        <v>0</v>
      </c>
      <c r="F32" s="203">
        <v>0</v>
      </c>
      <c r="H32" s="78"/>
      <c r="I32" s="68"/>
      <c r="J32" s="69"/>
      <c r="K32" s="72" t="s">
        <v>122</v>
      </c>
      <c r="L32" s="70" t="e">
        <f t="shared" si="0"/>
        <v>#DIV/0!</v>
      </c>
      <c r="M32" s="71" t="e">
        <f t="shared" si="4"/>
        <v>#DIV/0!</v>
      </c>
      <c r="Y32" s="340"/>
      <c r="Z32" s="340"/>
      <c r="AA32" s="223">
        <f t="shared" si="1"/>
        <v>0</v>
      </c>
      <c r="AB32" s="224" t="e">
        <f>Admin!N32</f>
        <v>#DIV/0!</v>
      </c>
      <c r="AC32" s="224" t="e">
        <f t="shared" si="5"/>
        <v>#DIV/0!</v>
      </c>
      <c r="AD32" s="340"/>
      <c r="AE32" s="340"/>
    </row>
    <row r="33" spans="1:31">
      <c r="A33" s="142"/>
      <c r="B33" s="143"/>
      <c r="C33" s="144"/>
      <c r="D33" s="147" t="s">
        <v>44</v>
      </c>
      <c r="E33" s="145">
        <f t="shared" si="6"/>
        <v>0</v>
      </c>
      <c r="F33" s="203">
        <v>0</v>
      </c>
      <c r="H33" s="78"/>
      <c r="I33" s="68"/>
      <c r="J33" s="69"/>
      <c r="K33" s="72" t="s">
        <v>44</v>
      </c>
      <c r="L33" s="70" t="e">
        <f t="shared" si="0"/>
        <v>#DIV/0!</v>
      </c>
      <c r="M33" s="71" t="e">
        <f t="shared" si="4"/>
        <v>#DIV/0!</v>
      </c>
      <c r="Y33" s="340"/>
      <c r="Z33" s="340"/>
      <c r="AA33" s="223">
        <f t="shared" si="1"/>
        <v>0</v>
      </c>
      <c r="AB33" s="224" t="e">
        <f>Admin!N36</f>
        <v>#DIV/0!</v>
      </c>
      <c r="AC33" s="224" t="e">
        <f t="shared" si="5"/>
        <v>#DIV/0!</v>
      </c>
      <c r="AD33" s="340"/>
      <c r="AE33" s="340"/>
    </row>
    <row r="34" spans="1:31">
      <c r="A34" s="142"/>
      <c r="B34" s="143"/>
      <c r="C34" s="144"/>
      <c r="D34" s="144" t="s">
        <v>59</v>
      </c>
      <c r="E34" s="145">
        <f t="shared" si="6"/>
        <v>0</v>
      </c>
      <c r="F34" s="203">
        <v>0</v>
      </c>
      <c r="H34" s="78"/>
      <c r="I34" s="68"/>
      <c r="J34" s="69"/>
      <c r="K34" s="69" t="s">
        <v>59</v>
      </c>
      <c r="L34" s="70" t="e">
        <f t="shared" si="0"/>
        <v>#DIV/0!</v>
      </c>
      <c r="M34" s="71" t="e">
        <f t="shared" si="4"/>
        <v>#DIV/0!</v>
      </c>
      <c r="Y34" s="340"/>
      <c r="Z34" s="340"/>
      <c r="AA34" s="223">
        <f t="shared" si="1"/>
        <v>0</v>
      </c>
      <c r="AB34" s="224" t="e">
        <f>Admin!N38</f>
        <v>#DIV/0!</v>
      </c>
      <c r="AC34" s="224" t="e">
        <f t="shared" si="5"/>
        <v>#DIV/0!</v>
      </c>
      <c r="AD34" s="340"/>
      <c r="AE34" s="340"/>
    </row>
    <row r="35" spans="1:31">
      <c r="A35" s="142"/>
      <c r="B35" s="144"/>
      <c r="C35" s="144"/>
      <c r="D35" s="147" t="s">
        <v>45</v>
      </c>
      <c r="E35" s="145">
        <f t="shared" si="6"/>
        <v>0</v>
      </c>
      <c r="F35" s="203">
        <v>0</v>
      </c>
      <c r="H35" s="78"/>
      <c r="I35" s="69"/>
      <c r="J35" s="69"/>
      <c r="K35" s="72" t="s">
        <v>45</v>
      </c>
      <c r="L35" s="70" t="e">
        <f t="shared" si="0"/>
        <v>#DIV/0!</v>
      </c>
      <c r="M35" s="71" t="e">
        <f t="shared" si="4"/>
        <v>#DIV/0!</v>
      </c>
      <c r="Y35" s="340"/>
      <c r="Z35" s="340"/>
      <c r="AA35" s="223">
        <f t="shared" si="1"/>
        <v>0</v>
      </c>
      <c r="AB35" s="224" t="e">
        <f>Admin!N40</f>
        <v>#DIV/0!</v>
      </c>
      <c r="AC35" s="224" t="e">
        <f t="shared" si="5"/>
        <v>#DIV/0!</v>
      </c>
      <c r="AD35" s="340"/>
      <c r="AE35" s="340"/>
    </row>
    <row r="36" spans="1:31">
      <c r="A36" s="148"/>
      <c r="B36" s="144"/>
      <c r="C36" s="144"/>
      <c r="D36" s="147" t="s">
        <v>46</v>
      </c>
      <c r="E36" s="145">
        <f t="shared" si="6"/>
        <v>0</v>
      </c>
      <c r="F36" s="203">
        <v>0</v>
      </c>
      <c r="H36" s="73"/>
      <c r="I36" s="69"/>
      <c r="J36" s="69"/>
      <c r="K36" s="72" t="s">
        <v>46</v>
      </c>
      <c r="L36" s="70" t="e">
        <f t="shared" si="0"/>
        <v>#DIV/0!</v>
      </c>
      <c r="M36" s="71" t="e">
        <f t="shared" si="4"/>
        <v>#DIV/0!</v>
      </c>
      <c r="Y36" s="340"/>
      <c r="Z36" s="340"/>
      <c r="AA36" s="223">
        <f t="shared" si="1"/>
        <v>0</v>
      </c>
      <c r="AB36" s="224" t="e">
        <f>Admin!N44</f>
        <v>#DIV/0!</v>
      </c>
      <c r="AC36" s="224" t="e">
        <f t="shared" si="5"/>
        <v>#DIV/0!</v>
      </c>
      <c r="AD36" s="340"/>
      <c r="AE36" s="340"/>
    </row>
    <row r="37" spans="1:31">
      <c r="A37" s="148"/>
      <c r="B37" s="144"/>
      <c r="C37" s="144"/>
      <c r="D37" s="144" t="s">
        <v>47</v>
      </c>
      <c r="E37" s="156">
        <v>0</v>
      </c>
      <c r="F37" s="146">
        <f>E37*20</f>
        <v>0</v>
      </c>
      <c r="H37" s="73"/>
      <c r="I37" s="69"/>
      <c r="J37" s="69"/>
      <c r="K37" s="69" t="s">
        <v>47</v>
      </c>
      <c r="L37" s="70" t="e">
        <f t="shared" si="0"/>
        <v>#DIV/0!</v>
      </c>
      <c r="M37" s="71" t="e">
        <f t="shared" si="4"/>
        <v>#DIV/0!</v>
      </c>
      <c r="Y37" s="340"/>
      <c r="Z37" s="340"/>
      <c r="AA37" s="223">
        <f t="shared" si="1"/>
        <v>0</v>
      </c>
      <c r="AB37" s="224" t="e">
        <f>Admin!N48</f>
        <v>#DIV/0!</v>
      </c>
      <c r="AC37" s="224" t="e">
        <f t="shared" si="5"/>
        <v>#DIV/0!</v>
      </c>
      <c r="AD37" s="340"/>
      <c r="AE37" s="340"/>
    </row>
    <row r="38" spans="1:31">
      <c r="A38" s="148"/>
      <c r="B38" s="144"/>
      <c r="C38" s="144"/>
      <c r="D38" s="144" t="s">
        <v>48</v>
      </c>
      <c r="E38" s="156">
        <v>0</v>
      </c>
      <c r="F38" s="146">
        <f>E38*20</f>
        <v>0</v>
      </c>
      <c r="H38" s="73"/>
      <c r="I38" s="69"/>
      <c r="J38" s="69"/>
      <c r="K38" s="69" t="s">
        <v>48</v>
      </c>
      <c r="L38" s="70" t="e">
        <f t="shared" si="0"/>
        <v>#DIV/0!</v>
      </c>
      <c r="M38" s="71" t="e">
        <f t="shared" si="4"/>
        <v>#DIV/0!</v>
      </c>
      <c r="Y38" s="340"/>
      <c r="Z38" s="340"/>
      <c r="AA38" s="223">
        <f t="shared" si="1"/>
        <v>0</v>
      </c>
      <c r="AB38" s="224" t="e">
        <f>Admin!N52</f>
        <v>#DIV/0!</v>
      </c>
      <c r="AC38" s="224" t="e">
        <f t="shared" si="5"/>
        <v>#DIV/0!</v>
      </c>
      <c r="AD38" s="340"/>
      <c r="AE38" s="340"/>
    </row>
    <row r="39" spans="1:31">
      <c r="A39" s="148"/>
      <c r="B39" s="144"/>
      <c r="C39" s="144"/>
      <c r="D39" s="147" t="s">
        <v>49</v>
      </c>
      <c r="E39" s="145">
        <f t="shared" ref="E39:E44" si="7">F39*0.05</f>
        <v>0</v>
      </c>
      <c r="F39" s="203">
        <v>0</v>
      </c>
      <c r="H39" s="73"/>
      <c r="I39" s="69"/>
      <c r="J39" s="69"/>
      <c r="K39" s="72" t="s">
        <v>49</v>
      </c>
      <c r="L39" s="70" t="e">
        <f t="shared" si="0"/>
        <v>#DIV/0!</v>
      </c>
      <c r="M39" s="71" t="e">
        <f t="shared" si="4"/>
        <v>#DIV/0!</v>
      </c>
      <c r="Y39" s="340"/>
      <c r="Z39" s="340"/>
      <c r="AA39" s="223">
        <f t="shared" si="1"/>
        <v>0</v>
      </c>
      <c r="AB39" s="224" t="e">
        <f>Admin!N54</f>
        <v>#DIV/0!</v>
      </c>
      <c r="AC39" s="224" t="e">
        <f t="shared" si="5"/>
        <v>#DIV/0!</v>
      </c>
      <c r="AD39" s="340"/>
      <c r="AE39" s="340"/>
    </row>
    <row r="40" spans="1:31">
      <c r="A40" s="148"/>
      <c r="B40" s="144"/>
      <c r="C40" s="144"/>
      <c r="D40" s="147" t="s">
        <v>50</v>
      </c>
      <c r="E40" s="145">
        <f t="shared" si="7"/>
        <v>0</v>
      </c>
      <c r="F40" s="203">
        <v>0</v>
      </c>
      <c r="H40" s="73"/>
      <c r="I40" s="69"/>
      <c r="J40" s="69"/>
      <c r="K40" s="72" t="s">
        <v>50</v>
      </c>
      <c r="L40" s="70" t="e">
        <f t="shared" si="0"/>
        <v>#DIV/0!</v>
      </c>
      <c r="M40" s="71" t="e">
        <f t="shared" si="4"/>
        <v>#DIV/0!</v>
      </c>
      <c r="Y40" s="340"/>
      <c r="Z40" s="340"/>
      <c r="AA40" s="223">
        <f t="shared" si="1"/>
        <v>0</v>
      </c>
      <c r="AB40" s="224" t="e">
        <f>Admin!N56</f>
        <v>#DIV/0!</v>
      </c>
      <c r="AC40" s="224" t="e">
        <f t="shared" si="5"/>
        <v>#DIV/0!</v>
      </c>
      <c r="AD40" s="340"/>
      <c r="AE40" s="340"/>
    </row>
    <row r="41" spans="1:31">
      <c r="A41" s="148"/>
      <c r="B41" s="144"/>
      <c r="C41" s="144"/>
      <c r="D41" s="147" t="s">
        <v>51</v>
      </c>
      <c r="E41" s="145">
        <f t="shared" si="7"/>
        <v>0</v>
      </c>
      <c r="F41" s="203">
        <v>0</v>
      </c>
      <c r="H41" s="73"/>
      <c r="I41" s="69"/>
      <c r="J41" s="69"/>
      <c r="K41" s="72" t="s">
        <v>51</v>
      </c>
      <c r="L41" s="70" t="e">
        <f t="shared" si="0"/>
        <v>#DIV/0!</v>
      </c>
      <c r="M41" s="71" t="e">
        <f t="shared" si="4"/>
        <v>#DIV/0!</v>
      </c>
      <c r="Y41" s="340"/>
      <c r="Z41" s="340"/>
      <c r="AA41" s="223">
        <f t="shared" si="1"/>
        <v>0</v>
      </c>
      <c r="AB41" s="224" t="e">
        <f>Admin!N60</f>
        <v>#DIV/0!</v>
      </c>
      <c r="AC41" s="224" t="e">
        <f t="shared" si="5"/>
        <v>#DIV/0!</v>
      </c>
      <c r="AD41" s="340"/>
      <c r="AE41" s="340"/>
    </row>
    <row r="42" spans="1:31">
      <c r="A42" s="148"/>
      <c r="B42" s="144"/>
      <c r="C42" s="144"/>
      <c r="D42" s="147" t="s">
        <v>52</v>
      </c>
      <c r="E42" s="145">
        <f t="shared" si="7"/>
        <v>0</v>
      </c>
      <c r="F42" s="203">
        <v>0</v>
      </c>
      <c r="H42" s="73"/>
      <c r="I42" s="69"/>
      <c r="J42" s="69"/>
      <c r="K42" s="72" t="s">
        <v>52</v>
      </c>
      <c r="L42" s="70" t="e">
        <f t="shared" si="0"/>
        <v>#DIV/0!</v>
      </c>
      <c r="M42" s="71" t="e">
        <f t="shared" si="4"/>
        <v>#DIV/0!</v>
      </c>
      <c r="Y42" s="340"/>
      <c r="Z42" s="340"/>
      <c r="AA42" s="223">
        <f t="shared" si="1"/>
        <v>0</v>
      </c>
      <c r="AB42" s="224" t="e">
        <f>Admin!N64</f>
        <v>#DIV/0!</v>
      </c>
      <c r="AC42" s="224" t="e">
        <f t="shared" si="5"/>
        <v>#DIV/0!</v>
      </c>
      <c r="AD42" s="340"/>
      <c r="AE42" s="340"/>
    </row>
    <row r="43" spans="1:31">
      <c r="A43" s="148"/>
      <c r="B43" s="144"/>
      <c r="C43" s="144"/>
      <c r="D43" s="147" t="s">
        <v>53</v>
      </c>
      <c r="E43" s="145">
        <f t="shared" si="7"/>
        <v>0</v>
      </c>
      <c r="F43" s="203">
        <v>0</v>
      </c>
      <c r="H43" s="73"/>
      <c r="I43" s="69"/>
      <c r="J43" s="69"/>
      <c r="K43" s="72" t="s">
        <v>53</v>
      </c>
      <c r="L43" s="70" t="e">
        <f t="shared" si="0"/>
        <v>#DIV/0!</v>
      </c>
      <c r="M43" s="71" t="e">
        <f t="shared" si="4"/>
        <v>#DIV/0!</v>
      </c>
      <c r="Y43" s="340"/>
      <c r="Z43" s="340"/>
      <c r="AA43" s="223">
        <f t="shared" si="1"/>
        <v>0</v>
      </c>
      <c r="AB43" s="224" t="e">
        <f>Admin!N68</f>
        <v>#DIV/0!</v>
      </c>
      <c r="AC43" s="224" t="e">
        <f t="shared" si="5"/>
        <v>#DIV/0!</v>
      </c>
      <c r="AD43" s="340"/>
      <c r="AE43" s="340"/>
    </row>
    <row r="44" spans="1:31">
      <c r="A44" s="148"/>
      <c r="B44" s="144"/>
      <c r="C44" s="144"/>
      <c r="D44" s="147" t="s">
        <v>54</v>
      </c>
      <c r="E44" s="145">
        <f t="shared" si="7"/>
        <v>0</v>
      </c>
      <c r="F44" s="203">
        <v>0</v>
      </c>
      <c r="H44" s="73"/>
      <c r="I44" s="69"/>
      <c r="J44" s="69"/>
      <c r="K44" s="72" t="s">
        <v>54</v>
      </c>
      <c r="L44" s="70" t="e">
        <f t="shared" si="0"/>
        <v>#DIV/0!</v>
      </c>
      <c r="M44" s="71" t="e">
        <f t="shared" si="4"/>
        <v>#DIV/0!</v>
      </c>
      <c r="Y44" s="340"/>
      <c r="Z44" s="340"/>
      <c r="AA44" s="223">
        <f t="shared" si="1"/>
        <v>0</v>
      </c>
      <c r="AB44" s="224" t="e">
        <f>Admin!N70</f>
        <v>#DIV/0!</v>
      </c>
      <c r="AC44" s="224" t="e">
        <f t="shared" si="5"/>
        <v>#DIV/0!</v>
      </c>
      <c r="AD44" s="340"/>
      <c r="AE44" s="340"/>
    </row>
    <row r="45" spans="1:31">
      <c r="A45" s="148"/>
      <c r="B45" s="144"/>
      <c r="C45" s="144"/>
      <c r="D45" s="144" t="s">
        <v>55</v>
      </c>
      <c r="E45" s="156">
        <v>0</v>
      </c>
      <c r="F45" s="146">
        <f>E45*20</f>
        <v>0</v>
      </c>
      <c r="H45" s="73"/>
      <c r="I45" s="69"/>
      <c r="J45" s="69"/>
      <c r="K45" s="69" t="s">
        <v>55</v>
      </c>
      <c r="L45" s="70" t="e">
        <f t="shared" si="0"/>
        <v>#DIV/0!</v>
      </c>
      <c r="M45" s="71" t="e">
        <f t="shared" si="4"/>
        <v>#DIV/0!</v>
      </c>
      <c r="Y45" s="340"/>
      <c r="Z45" s="340"/>
      <c r="AA45" s="223">
        <f t="shared" si="1"/>
        <v>0</v>
      </c>
      <c r="AB45" s="224" t="e">
        <f>Admin!N72</f>
        <v>#DIV/0!</v>
      </c>
      <c r="AC45" s="224" t="e">
        <f t="shared" si="5"/>
        <v>#DIV/0!</v>
      </c>
      <c r="AD45" s="340"/>
      <c r="AE45" s="340"/>
    </row>
    <row r="46" spans="1:31">
      <c r="A46" s="148"/>
      <c r="B46" s="144"/>
      <c r="C46" s="144"/>
      <c r="D46" s="147" t="s">
        <v>56</v>
      </c>
      <c r="E46" s="145">
        <f>F46*0.05</f>
        <v>0</v>
      </c>
      <c r="F46" s="203">
        <v>0</v>
      </c>
      <c r="H46" s="73"/>
      <c r="I46" s="69"/>
      <c r="J46" s="69"/>
      <c r="K46" s="72" t="s">
        <v>56</v>
      </c>
      <c r="L46" s="70" t="e">
        <f t="shared" si="0"/>
        <v>#DIV/0!</v>
      </c>
      <c r="M46" s="71" t="e">
        <f t="shared" si="4"/>
        <v>#DIV/0!</v>
      </c>
      <c r="Y46" s="340"/>
      <c r="Z46" s="340"/>
      <c r="AA46" s="223">
        <f t="shared" si="1"/>
        <v>0</v>
      </c>
      <c r="AB46" s="224" t="e">
        <f>Admin!N78</f>
        <v>#DIV/0!</v>
      </c>
      <c r="AC46" s="224" t="e">
        <f t="shared" si="5"/>
        <v>#DIV/0!</v>
      </c>
      <c r="AD46" s="340"/>
      <c r="AE46" s="340"/>
    </row>
    <row r="47" spans="1:31" ht="17" thickBot="1">
      <c r="A47" s="149"/>
      <c r="B47" s="141"/>
      <c r="C47" s="141"/>
      <c r="D47" s="150" t="s">
        <v>57</v>
      </c>
      <c r="E47" s="151">
        <f>F47*0.05</f>
        <v>0</v>
      </c>
      <c r="F47" s="204">
        <v>0</v>
      </c>
      <c r="H47" s="74"/>
      <c r="I47" s="60"/>
      <c r="J47" s="60"/>
      <c r="K47" s="75" t="s">
        <v>57</v>
      </c>
      <c r="L47" s="76" t="e">
        <f t="shared" si="0"/>
        <v>#DIV/0!</v>
      </c>
      <c r="M47" s="77" t="e">
        <f t="shared" si="4"/>
        <v>#DIV/0!</v>
      </c>
      <c r="Y47" s="340"/>
      <c r="Z47" s="340"/>
      <c r="AA47" s="223">
        <f t="shared" si="1"/>
        <v>0</v>
      </c>
      <c r="AB47" s="224" t="e">
        <f>Admin!N80</f>
        <v>#DIV/0!</v>
      </c>
      <c r="AC47" s="224" t="e">
        <f t="shared" si="5"/>
        <v>#DIV/0!</v>
      </c>
      <c r="AD47" s="340"/>
      <c r="AE47" s="340"/>
    </row>
    <row r="48" spans="1:31" ht="16" customHeight="1">
      <c r="A48" s="257"/>
      <c r="B48" s="258"/>
      <c r="C48" s="258"/>
      <c r="D48" s="258"/>
      <c r="E48" s="259"/>
      <c r="F48" s="254"/>
      <c r="H48" s="262" t="s">
        <v>197</v>
      </c>
      <c r="I48" s="264" t="s">
        <v>136</v>
      </c>
      <c r="J48" s="264"/>
      <c r="K48" s="264"/>
      <c r="L48" s="266">
        <f>L23</f>
        <v>1</v>
      </c>
      <c r="M48" s="268" t="s">
        <v>129</v>
      </c>
      <c r="Y48" s="340"/>
      <c r="Z48" s="340"/>
      <c r="AA48" s="340"/>
      <c r="AB48" s="340"/>
      <c r="AC48" s="340"/>
      <c r="AD48" s="340"/>
      <c r="AE48" s="340"/>
    </row>
    <row r="49" spans="1:31" ht="17" thickBot="1">
      <c r="A49" s="257"/>
      <c r="B49" s="258"/>
      <c r="C49" s="258"/>
      <c r="D49" s="258"/>
      <c r="E49" s="259"/>
      <c r="F49" s="254"/>
      <c r="H49" s="263"/>
      <c r="I49" s="265"/>
      <c r="J49" s="265"/>
      <c r="K49" s="265"/>
      <c r="L49" s="267"/>
      <c r="M49" s="269"/>
      <c r="Y49" s="340"/>
      <c r="Z49" s="340"/>
      <c r="AA49" s="340"/>
      <c r="AB49" s="340"/>
      <c r="AC49" s="340"/>
      <c r="AD49" s="340"/>
      <c r="AE49" s="340"/>
    </row>
    <row r="50" spans="1:31" ht="16" customHeight="1">
      <c r="A50" s="251"/>
      <c r="B50" s="252"/>
      <c r="C50" s="252"/>
      <c r="D50" s="252"/>
      <c r="E50" s="252"/>
      <c r="F50" s="252"/>
      <c r="H50" s="272" t="s">
        <v>202</v>
      </c>
      <c r="I50" s="292" t="s">
        <v>142</v>
      </c>
      <c r="J50" s="292"/>
      <c r="K50" s="292"/>
      <c r="L50" s="292"/>
      <c r="M50" s="293"/>
    </row>
    <row r="51" spans="1:31">
      <c r="A51" s="251"/>
      <c r="B51" s="252"/>
      <c r="C51" s="252"/>
      <c r="D51" s="252"/>
      <c r="E51" s="252"/>
      <c r="F51" s="252"/>
      <c r="H51" s="290"/>
      <c r="I51" s="294"/>
      <c r="J51" s="294"/>
      <c r="K51" s="294"/>
      <c r="L51" s="294"/>
      <c r="M51" s="295"/>
    </row>
    <row r="52" spans="1:31">
      <c r="A52" s="251"/>
      <c r="B52" s="252"/>
      <c r="C52" s="252"/>
      <c r="D52" s="252"/>
      <c r="E52" s="252"/>
      <c r="F52" s="252"/>
      <c r="H52" s="290"/>
      <c r="I52" s="294"/>
      <c r="J52" s="294"/>
      <c r="K52" s="294"/>
      <c r="L52" s="294"/>
      <c r="M52" s="295"/>
    </row>
    <row r="53" spans="1:31">
      <c r="A53" s="251"/>
      <c r="B53" s="252"/>
      <c r="C53" s="252"/>
      <c r="D53" s="252"/>
      <c r="E53" s="252"/>
      <c r="F53" s="252"/>
      <c r="H53" s="290"/>
      <c r="I53" s="294"/>
      <c r="J53" s="294"/>
      <c r="K53" s="294"/>
      <c r="L53" s="294"/>
      <c r="M53" s="295"/>
    </row>
    <row r="54" spans="1:31" ht="17" thickBot="1">
      <c r="A54" s="251"/>
      <c r="B54" s="252"/>
      <c r="C54" s="252"/>
      <c r="D54" s="252"/>
      <c r="E54" s="252"/>
      <c r="F54" s="252"/>
      <c r="H54" s="291"/>
      <c r="I54" s="296"/>
      <c r="J54" s="296"/>
      <c r="K54" s="296"/>
      <c r="L54" s="296"/>
      <c r="M54" s="297"/>
    </row>
    <row r="55" spans="1:31">
      <c r="A55" s="251"/>
      <c r="B55" s="253"/>
      <c r="C55" s="253"/>
      <c r="D55" s="253"/>
      <c r="E55" s="254"/>
      <c r="F55" s="157"/>
      <c r="H55" s="272" t="s">
        <v>203</v>
      </c>
      <c r="I55" s="298" t="s">
        <v>137</v>
      </c>
      <c r="J55" s="298"/>
      <c r="K55" s="298"/>
      <c r="L55" s="301" t="e">
        <f>ROUNDUP(L48*3785/L22,0)</f>
        <v>#DIV/0!</v>
      </c>
      <c r="M55" s="59"/>
    </row>
    <row r="56" spans="1:31">
      <c r="A56" s="251"/>
      <c r="B56" s="253"/>
      <c r="C56" s="253"/>
      <c r="D56" s="253"/>
      <c r="E56" s="254"/>
      <c r="F56" s="157"/>
      <c r="H56" s="290"/>
      <c r="I56" s="299"/>
      <c r="J56" s="299"/>
      <c r="K56" s="299"/>
      <c r="L56" s="302"/>
      <c r="M56" s="79" t="s">
        <v>62</v>
      </c>
    </row>
    <row r="57" spans="1:31" ht="17" thickBot="1">
      <c r="A57" s="251"/>
      <c r="B57" s="253"/>
      <c r="C57" s="253"/>
      <c r="D57" s="253"/>
      <c r="E57" s="254"/>
      <c r="F57" s="157"/>
      <c r="H57" s="291"/>
      <c r="I57" s="300"/>
      <c r="J57" s="300"/>
      <c r="K57" s="300"/>
      <c r="L57" s="303"/>
      <c r="M57" s="63"/>
    </row>
    <row r="59" spans="1:31" ht="17" thickBot="1"/>
    <row r="60" spans="1:31">
      <c r="A60" s="304" t="s">
        <v>192</v>
      </c>
      <c r="B60" s="305"/>
      <c r="C60" s="305"/>
      <c r="D60" s="305"/>
      <c r="E60" s="305"/>
      <c r="F60" s="305"/>
      <c r="G60" s="305"/>
      <c r="H60" s="305"/>
      <c r="I60" s="306"/>
    </row>
    <row r="61" spans="1:31">
      <c r="A61" s="307"/>
      <c r="B61" s="308"/>
      <c r="C61" s="308"/>
      <c r="D61" s="308"/>
      <c r="E61" s="308"/>
      <c r="F61" s="308"/>
      <c r="G61" s="308"/>
      <c r="H61" s="308"/>
      <c r="I61" s="309"/>
    </row>
    <row r="62" spans="1:31">
      <c r="A62" s="137"/>
      <c r="B62" s="136"/>
      <c r="C62" s="136"/>
      <c r="D62" s="136"/>
      <c r="E62" s="136"/>
      <c r="F62" s="136"/>
      <c r="G62" s="136"/>
      <c r="H62" s="136"/>
      <c r="I62" s="138"/>
    </row>
    <row r="63" spans="1:31">
      <c r="A63" s="310" t="s">
        <v>187</v>
      </c>
      <c r="B63" s="311"/>
      <c r="C63" s="311"/>
      <c r="D63" s="311"/>
      <c r="E63" s="311"/>
      <c r="F63" s="311"/>
      <c r="G63" s="311"/>
      <c r="H63" s="311"/>
      <c r="I63" s="312"/>
    </row>
    <row r="64" spans="1:31">
      <c r="A64" s="313"/>
      <c r="B64" s="311"/>
      <c r="C64" s="311"/>
      <c r="D64" s="311"/>
      <c r="E64" s="311"/>
      <c r="F64" s="311"/>
      <c r="G64" s="311"/>
      <c r="H64" s="311"/>
      <c r="I64" s="312"/>
    </row>
    <row r="65" spans="1:9">
      <c r="A65" s="313"/>
      <c r="B65" s="311"/>
      <c r="C65" s="311"/>
      <c r="D65" s="311"/>
      <c r="E65" s="311"/>
      <c r="F65" s="311"/>
      <c r="G65" s="311"/>
      <c r="H65" s="311"/>
      <c r="I65" s="312"/>
    </row>
    <row r="66" spans="1:9">
      <c r="A66" s="129"/>
      <c r="B66" s="130"/>
      <c r="C66" s="130"/>
      <c r="D66" s="130"/>
      <c r="E66" s="130"/>
      <c r="F66" s="130"/>
      <c r="G66" s="130"/>
      <c r="H66" s="130"/>
      <c r="I66" s="131"/>
    </row>
    <row r="67" spans="1:9">
      <c r="A67" s="310" t="s">
        <v>188</v>
      </c>
      <c r="B67" s="311"/>
      <c r="C67" s="311"/>
      <c r="D67" s="311"/>
      <c r="E67" s="311"/>
      <c r="F67" s="311"/>
      <c r="G67" s="311"/>
      <c r="H67" s="311"/>
      <c r="I67" s="312"/>
    </row>
    <row r="68" spans="1:9">
      <c r="A68" s="313"/>
      <c r="B68" s="311"/>
      <c r="C68" s="311"/>
      <c r="D68" s="311"/>
      <c r="E68" s="311"/>
      <c r="F68" s="311"/>
      <c r="G68" s="311"/>
      <c r="H68" s="311"/>
      <c r="I68" s="312"/>
    </row>
    <row r="69" spans="1:9">
      <c r="A69" s="313"/>
      <c r="B69" s="311"/>
      <c r="C69" s="311"/>
      <c r="D69" s="311"/>
      <c r="E69" s="311"/>
      <c r="F69" s="311"/>
      <c r="G69" s="311"/>
      <c r="H69" s="311"/>
      <c r="I69" s="312"/>
    </row>
    <row r="70" spans="1:9">
      <c r="A70" s="129"/>
      <c r="B70" s="130"/>
      <c r="C70" s="130"/>
      <c r="D70" s="130"/>
      <c r="E70" s="130"/>
      <c r="F70" s="130"/>
      <c r="G70" s="130"/>
      <c r="H70" s="130"/>
      <c r="I70" s="131"/>
    </row>
    <row r="71" spans="1:9">
      <c r="A71" s="315" t="s">
        <v>156</v>
      </c>
      <c r="B71" s="308"/>
      <c r="C71" s="308"/>
      <c r="D71" s="308"/>
      <c r="E71" s="308"/>
      <c r="F71" s="308"/>
      <c r="G71" s="308"/>
      <c r="H71" s="308"/>
      <c r="I71" s="309"/>
    </row>
    <row r="72" spans="1:9">
      <c r="A72" s="307"/>
      <c r="B72" s="308"/>
      <c r="C72" s="308"/>
      <c r="D72" s="308"/>
      <c r="E72" s="308"/>
      <c r="F72" s="308"/>
      <c r="G72" s="308"/>
      <c r="H72" s="308"/>
      <c r="I72" s="309"/>
    </row>
    <row r="73" spans="1:9">
      <c r="A73" s="110"/>
      <c r="B73" s="111"/>
      <c r="C73" s="111"/>
      <c r="D73" s="111"/>
      <c r="E73" s="111"/>
      <c r="F73" s="111"/>
      <c r="G73" s="112"/>
      <c r="H73" s="112"/>
      <c r="I73" s="113"/>
    </row>
    <row r="74" spans="1:9">
      <c r="A74" s="313" t="s">
        <v>158</v>
      </c>
      <c r="B74" s="311"/>
      <c r="C74" s="311"/>
      <c r="D74" s="311"/>
      <c r="E74" s="311"/>
      <c r="F74" s="311"/>
      <c r="G74" s="311"/>
      <c r="H74" s="311"/>
      <c r="I74" s="312"/>
    </row>
    <row r="75" spans="1:9">
      <c r="A75" s="313"/>
      <c r="B75" s="311"/>
      <c r="C75" s="311"/>
      <c r="D75" s="311"/>
      <c r="E75" s="311"/>
      <c r="F75" s="311"/>
      <c r="G75" s="311"/>
      <c r="H75" s="311"/>
      <c r="I75" s="312"/>
    </row>
    <row r="76" spans="1:9">
      <c r="A76" s="313"/>
      <c r="B76" s="311"/>
      <c r="C76" s="311"/>
      <c r="D76" s="311"/>
      <c r="E76" s="311"/>
      <c r="F76" s="311"/>
      <c r="G76" s="311"/>
      <c r="H76" s="311"/>
      <c r="I76" s="312"/>
    </row>
    <row r="77" spans="1:9">
      <c r="A77" s="316"/>
      <c r="B77" s="317"/>
      <c r="C77" s="317"/>
      <c r="D77" s="317"/>
      <c r="E77" s="317"/>
      <c r="F77" s="317"/>
      <c r="G77" s="317"/>
      <c r="H77" s="317"/>
      <c r="I77" s="318"/>
    </row>
    <row r="78" spans="1:9">
      <c r="A78" s="107"/>
      <c r="B78" s="108"/>
      <c r="C78" s="108"/>
      <c r="D78" s="108"/>
      <c r="E78" s="108"/>
      <c r="F78" s="108"/>
      <c r="G78" s="108"/>
      <c r="H78" s="108"/>
      <c r="I78" s="109"/>
    </row>
    <row r="79" spans="1:9">
      <c r="A79" s="114" t="s">
        <v>124</v>
      </c>
      <c r="B79" s="314" t="s">
        <v>127</v>
      </c>
      <c r="C79" s="314"/>
      <c r="D79" s="314"/>
      <c r="E79" s="314"/>
      <c r="F79" s="314"/>
      <c r="G79" s="115"/>
      <c r="H79" s="115"/>
      <c r="I79" s="116"/>
    </row>
    <row r="80" spans="1:9">
      <c r="A80" s="117" t="s">
        <v>73</v>
      </c>
      <c r="B80" s="118" t="e">
        <f>'Manual Dosing'!B77</f>
        <v>#DIV/0!</v>
      </c>
      <c r="C80" s="119" t="e">
        <f>'Manual Dosing'!C77</f>
        <v>#DIV/0!</v>
      </c>
      <c r="D80" s="120"/>
      <c r="E80" s="120"/>
      <c r="F80" s="120"/>
      <c r="G80" s="121"/>
      <c r="H80" s="121"/>
      <c r="I80" s="122"/>
    </row>
    <row r="81" spans="1:9">
      <c r="A81" s="117" t="s">
        <v>76</v>
      </c>
      <c r="B81" s="118" t="e">
        <f>'Manual Dosing'!B78</f>
        <v>#DIV/0!</v>
      </c>
      <c r="C81" s="119" t="e">
        <f>'Manual Dosing'!C78</f>
        <v>#DIV/0!</v>
      </c>
      <c r="D81" s="120"/>
      <c r="E81" s="120"/>
      <c r="F81" s="120"/>
      <c r="G81" s="121"/>
      <c r="H81" s="121"/>
      <c r="I81" s="122"/>
    </row>
    <row r="82" spans="1:9">
      <c r="A82" s="117" t="s">
        <v>78</v>
      </c>
      <c r="B82" s="118" t="e">
        <f>'Manual Dosing'!B79</f>
        <v>#DIV/0!</v>
      </c>
      <c r="C82" s="119" t="e">
        <f>'Manual Dosing'!C79</f>
        <v>#DIV/0!</v>
      </c>
      <c r="D82" s="120"/>
      <c r="E82" s="120"/>
      <c r="F82" s="120"/>
      <c r="G82" s="121"/>
      <c r="H82" s="121"/>
      <c r="I82" s="122"/>
    </row>
    <row r="83" spans="1:9">
      <c r="A83" s="117" t="s">
        <v>85</v>
      </c>
      <c r="B83" s="118" t="e">
        <f>'Manual Dosing'!B80</f>
        <v>#DIV/0!</v>
      </c>
      <c r="C83" s="119" t="e">
        <f>'Manual Dosing'!C80</f>
        <v>#DIV/0!</v>
      </c>
      <c r="D83" s="120"/>
      <c r="E83" s="120"/>
      <c r="F83" s="120"/>
      <c r="G83" s="121"/>
      <c r="H83" s="121"/>
      <c r="I83" s="122"/>
    </row>
    <row r="84" spans="1:9">
      <c r="A84" s="117" t="s">
        <v>86</v>
      </c>
      <c r="B84" s="118" t="e">
        <f>'Manual Dosing'!B81</f>
        <v>#DIV/0!</v>
      </c>
      <c r="C84" s="119" t="e">
        <f>'Manual Dosing'!C81</f>
        <v>#DIV/0!</v>
      </c>
      <c r="D84" s="120"/>
      <c r="E84" s="120"/>
      <c r="F84" s="120"/>
      <c r="G84" s="121"/>
      <c r="H84" s="121"/>
      <c r="I84" s="122"/>
    </row>
    <row r="85" spans="1:9">
      <c r="A85" s="117" t="s">
        <v>88</v>
      </c>
      <c r="B85" s="118" t="e">
        <f>'Manual Dosing'!B82</f>
        <v>#DIV/0!</v>
      </c>
      <c r="C85" s="119" t="e">
        <f>'Manual Dosing'!C82</f>
        <v>#DIV/0!</v>
      </c>
      <c r="D85" s="120"/>
      <c r="E85" s="120"/>
      <c r="F85" s="120"/>
      <c r="G85" s="121"/>
      <c r="H85" s="121"/>
      <c r="I85" s="122"/>
    </row>
    <row r="86" spans="1:9">
      <c r="A86" s="117" t="s">
        <v>92</v>
      </c>
      <c r="B86" s="118" t="e">
        <f>'Manual Dosing'!B83</f>
        <v>#DIV/0!</v>
      </c>
      <c r="C86" s="119" t="e">
        <f>'Manual Dosing'!C83</f>
        <v>#DIV/0!</v>
      </c>
      <c r="D86" s="120"/>
      <c r="E86" s="120"/>
      <c r="F86" s="120"/>
      <c r="G86" s="121"/>
      <c r="H86" s="121"/>
      <c r="I86" s="122"/>
    </row>
    <row r="87" spans="1:9">
      <c r="A87" s="117" t="s">
        <v>97</v>
      </c>
      <c r="B87" s="118" t="e">
        <f>'Manual Dosing'!B84</f>
        <v>#DIV/0!</v>
      </c>
      <c r="C87" s="119" t="e">
        <f>'Manual Dosing'!C84</f>
        <v>#DIV/0!</v>
      </c>
      <c r="D87" s="120"/>
      <c r="E87" s="120"/>
      <c r="F87" s="120"/>
      <c r="G87" s="121"/>
      <c r="H87" s="121"/>
      <c r="I87" s="122"/>
    </row>
    <row r="88" spans="1:9" ht="17" thickBot="1">
      <c r="A88" s="123" t="s">
        <v>98</v>
      </c>
      <c r="B88" s="124" t="e">
        <f>'Manual Dosing'!B85</f>
        <v>#DIV/0!</v>
      </c>
      <c r="C88" s="125" t="e">
        <f>'Manual Dosing'!C85</f>
        <v>#DIV/0!</v>
      </c>
      <c r="D88" s="126"/>
      <c r="E88" s="126"/>
      <c r="F88" s="126"/>
      <c r="G88" s="127"/>
      <c r="H88" s="127"/>
      <c r="I88" s="128"/>
    </row>
  </sheetData>
  <sheetProtection password="F283" sheet="1" objects="1" scenarios="1" selectLockedCells="1"/>
  <mergeCells count="36">
    <mergeCell ref="A60:I61"/>
    <mergeCell ref="A63:I65"/>
    <mergeCell ref="A67:I69"/>
    <mergeCell ref="B79:C79"/>
    <mergeCell ref="D79:F79"/>
    <mergeCell ref="A71:I72"/>
    <mergeCell ref="A74:I77"/>
    <mergeCell ref="H50:H54"/>
    <mergeCell ref="I50:M54"/>
    <mergeCell ref="H55:H57"/>
    <mergeCell ref="I55:K57"/>
    <mergeCell ref="L55:L57"/>
    <mergeCell ref="A19:F19"/>
    <mergeCell ref="H24:H25"/>
    <mergeCell ref="I24:K25"/>
    <mergeCell ref="L24:L25"/>
    <mergeCell ref="M24:M25"/>
    <mergeCell ref="F24:F25"/>
    <mergeCell ref="H22:H23"/>
    <mergeCell ref="B22:D25"/>
    <mergeCell ref="A22:A25"/>
    <mergeCell ref="I26:K26"/>
    <mergeCell ref="H48:H49"/>
    <mergeCell ref="I48:K49"/>
    <mergeCell ref="L48:L49"/>
    <mergeCell ref="M48:M49"/>
    <mergeCell ref="B26:D26"/>
    <mergeCell ref="A48:A49"/>
    <mergeCell ref="B48:D49"/>
    <mergeCell ref="E48:E49"/>
    <mergeCell ref="F48:F49"/>
    <mergeCell ref="A50:A54"/>
    <mergeCell ref="B50:F54"/>
    <mergeCell ref="A55:A57"/>
    <mergeCell ref="B55:D57"/>
    <mergeCell ref="E55:E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105"/>
  <sheetViews>
    <sheetView windowProtection="1" zoomScale="125" zoomScaleNormal="125" zoomScalePageLayoutView="125" workbookViewId="0">
      <selection activeCell="H20" sqref="H20"/>
    </sheetView>
  </sheetViews>
  <sheetFormatPr baseColWidth="10" defaultColWidth="10.625" defaultRowHeight="16" x14ac:dyDescent="0"/>
  <cols>
    <col min="1" max="2" width="10.625" style="34"/>
    <col min="3" max="3" width="11.75" style="34" customWidth="1"/>
    <col min="4" max="4" width="12.25" style="34" customWidth="1"/>
    <col min="5" max="5" width="14" style="81" customWidth="1"/>
    <col min="6" max="6" width="15" style="81" bestFit="1" customWidth="1"/>
    <col min="7" max="10" width="12.125" style="81" customWidth="1"/>
    <col min="11" max="11" width="10.625" style="34"/>
    <col min="12" max="13" width="10.625" style="216"/>
    <col min="14" max="42" width="10.625" style="34"/>
    <col min="43" max="44" width="6" style="34" bestFit="1" customWidth="1"/>
    <col min="45" max="16384" width="10.625" style="34"/>
  </cols>
  <sheetData>
    <row r="1" spans="1:10">
      <c r="A1" s="33" t="s">
        <v>209</v>
      </c>
    </row>
    <row r="2" spans="1:10">
      <c r="A2" s="33"/>
    </row>
    <row r="3" spans="1:10">
      <c r="A3" s="4" t="s">
        <v>213</v>
      </c>
      <c r="B3" s="4"/>
      <c r="C3" s="4"/>
      <c r="D3" s="4"/>
      <c r="E3" s="4"/>
      <c r="F3" s="4"/>
      <c r="G3" s="4"/>
      <c r="H3" s="14"/>
      <c r="I3" s="14"/>
      <c r="J3" s="14"/>
    </row>
    <row r="4" spans="1:10">
      <c r="A4" s="4"/>
      <c r="B4" s="4"/>
      <c r="C4" s="4"/>
      <c r="D4" s="4"/>
      <c r="E4" s="4"/>
      <c r="F4" s="4"/>
      <c r="G4" s="4"/>
      <c r="H4" s="14"/>
      <c r="I4" s="14"/>
      <c r="J4" s="14"/>
    </row>
    <row r="5" spans="1:10">
      <c r="A5" s="210" t="s">
        <v>214</v>
      </c>
      <c r="B5" s="4"/>
      <c r="C5" s="4"/>
      <c r="D5" s="4"/>
      <c r="E5" s="4"/>
      <c r="F5" s="4"/>
      <c r="G5" s="4"/>
      <c r="H5" s="14"/>
      <c r="I5" s="14"/>
      <c r="J5" s="14"/>
    </row>
    <row r="6" spans="1:10">
      <c r="A6" s="4"/>
      <c r="B6" s="4"/>
      <c r="C6" s="4"/>
      <c r="D6" s="4"/>
      <c r="E6" s="4"/>
      <c r="F6" s="4"/>
      <c r="G6" s="4"/>
      <c r="H6" s="14"/>
      <c r="I6" s="14"/>
      <c r="J6" s="14"/>
    </row>
    <row r="7" spans="1:10">
      <c r="A7" s="4" t="s">
        <v>193</v>
      </c>
      <c r="B7" s="4"/>
      <c r="C7" s="4"/>
      <c r="D7" s="4"/>
      <c r="E7" s="4"/>
      <c r="F7" s="4"/>
      <c r="G7" s="4"/>
      <c r="H7" s="14"/>
      <c r="I7" s="14"/>
      <c r="J7" s="14"/>
    </row>
    <row r="8" spans="1:10">
      <c r="A8" s="4"/>
      <c r="B8" s="4"/>
      <c r="C8" s="4"/>
      <c r="D8" s="4"/>
      <c r="E8" s="4"/>
      <c r="F8" s="4"/>
      <c r="G8" s="4"/>
      <c r="H8" s="14"/>
      <c r="I8" s="14"/>
      <c r="J8" s="14"/>
    </row>
    <row r="9" spans="1:10">
      <c r="A9" s="34" t="s">
        <v>183</v>
      </c>
      <c r="B9" s="4"/>
      <c r="C9" s="4"/>
      <c r="D9" s="4"/>
      <c r="E9" s="4"/>
      <c r="F9" s="4"/>
      <c r="G9" s="4"/>
      <c r="H9" s="14"/>
      <c r="I9" s="14"/>
      <c r="J9" s="14"/>
    </row>
    <row r="10" spans="1:10">
      <c r="B10" s="4"/>
      <c r="C10" s="4"/>
      <c r="D10" s="4"/>
      <c r="E10" s="4"/>
      <c r="F10" s="4"/>
      <c r="G10" s="4"/>
      <c r="H10" s="14"/>
      <c r="I10" s="14"/>
      <c r="J10" s="14"/>
    </row>
    <row r="11" spans="1:10">
      <c r="A11" s="34" t="s">
        <v>215</v>
      </c>
      <c r="B11" s="4"/>
      <c r="C11" s="4"/>
      <c r="D11" s="4"/>
      <c r="E11" s="4"/>
      <c r="F11" s="4"/>
      <c r="G11" s="4"/>
      <c r="H11" s="14"/>
      <c r="I11" s="14"/>
      <c r="J11" s="14"/>
    </row>
    <row r="12" spans="1:10">
      <c r="B12" s="4"/>
      <c r="C12" s="4"/>
      <c r="D12" s="4"/>
      <c r="E12" s="4"/>
      <c r="F12" s="4"/>
      <c r="G12" s="4"/>
      <c r="H12" s="14"/>
      <c r="I12" s="14"/>
      <c r="J12" s="14"/>
    </row>
    <row r="13" spans="1:10">
      <c r="A13" s="4" t="s">
        <v>189</v>
      </c>
      <c r="B13" s="4"/>
      <c r="C13" s="4"/>
      <c r="D13" s="4"/>
      <c r="E13" s="4"/>
      <c r="F13" s="4"/>
      <c r="G13" s="4"/>
      <c r="H13" s="14"/>
      <c r="I13" s="14"/>
      <c r="J13" s="14"/>
    </row>
    <row r="14" spans="1:10">
      <c r="A14" s="4"/>
      <c r="B14" s="4"/>
      <c r="C14" s="4"/>
      <c r="D14" s="4"/>
      <c r="E14" s="4"/>
      <c r="F14" s="4"/>
      <c r="G14" s="4"/>
      <c r="H14" s="14"/>
      <c r="I14" s="14"/>
      <c r="J14" s="14"/>
    </row>
    <row r="15" spans="1:10">
      <c r="A15" s="270" t="s">
        <v>177</v>
      </c>
      <c r="B15" s="271"/>
      <c r="C15" s="271"/>
      <c r="D15" s="271"/>
      <c r="E15" s="271"/>
      <c r="F15" s="271"/>
      <c r="G15" s="82"/>
      <c r="H15" s="17"/>
      <c r="I15" s="17"/>
      <c r="J15" s="17"/>
    </row>
    <row r="16" spans="1:10">
      <c r="A16" s="83"/>
      <c r="B16" s="82"/>
      <c r="C16" s="82"/>
      <c r="D16" s="82"/>
      <c r="E16" s="82"/>
      <c r="F16" s="82"/>
      <c r="G16" s="82"/>
      <c r="H16" s="17"/>
      <c r="I16" s="17"/>
      <c r="J16" s="17"/>
    </row>
    <row r="17" spans="1:13" ht="17" thickBot="1">
      <c r="A17" s="33" t="s">
        <v>159</v>
      </c>
    </row>
    <row r="18" spans="1:13">
      <c r="A18" s="84"/>
      <c r="B18" s="85"/>
      <c r="C18" s="85"/>
      <c r="D18" s="86"/>
      <c r="E18" s="323" t="s">
        <v>168</v>
      </c>
      <c r="F18" s="35"/>
      <c r="G18" s="325" t="s">
        <v>182</v>
      </c>
      <c r="H18" s="326"/>
      <c r="I18" s="327" t="s">
        <v>169</v>
      </c>
      <c r="J18" s="328"/>
      <c r="L18" s="319" t="s">
        <v>176</v>
      </c>
      <c r="M18" s="320"/>
    </row>
    <row r="19" spans="1:13" ht="17" customHeight="1">
      <c r="A19" s="87" t="s">
        <v>124</v>
      </c>
      <c r="B19" s="88" t="s">
        <v>111</v>
      </c>
      <c r="C19" s="321" t="s">
        <v>127</v>
      </c>
      <c r="D19" s="322"/>
      <c r="E19" s="324"/>
      <c r="F19" s="36" t="s">
        <v>161</v>
      </c>
      <c r="G19" s="37" t="s">
        <v>62</v>
      </c>
      <c r="H19" s="38" t="s">
        <v>160</v>
      </c>
      <c r="I19" s="90" t="s">
        <v>62</v>
      </c>
      <c r="J19" s="91" t="s">
        <v>160</v>
      </c>
      <c r="L19" s="217" t="s">
        <v>62</v>
      </c>
      <c r="M19" s="217" t="s">
        <v>160</v>
      </c>
    </row>
    <row r="20" spans="1:13" ht="16" customHeight="1">
      <c r="A20" s="92" t="s">
        <v>66</v>
      </c>
      <c r="B20" s="88" t="s">
        <v>2</v>
      </c>
      <c r="C20" s="93" t="e">
        <f>IF('Input Values'!AB36&gt;0,"Elevated by","Deficient by")</f>
        <v>#DIV/0!</v>
      </c>
      <c r="D20" s="94" t="e">
        <f>'Input Values'!AB36</f>
        <v>#DIV/0!</v>
      </c>
      <c r="E20" s="39" t="s">
        <v>41</v>
      </c>
      <c r="F20" s="40">
        <v>44500</v>
      </c>
      <c r="G20" s="51">
        <f>H20/20</f>
        <v>0</v>
      </c>
      <c r="H20" s="52">
        <v>0</v>
      </c>
      <c r="I20" s="95" t="e">
        <f>IF((G20+L20)&lt;0,0,(G20+L20))</f>
        <v>#DIV/0!</v>
      </c>
      <c r="J20" s="96" t="e">
        <f>IF((H20+M20)&lt;0,0,(H20+M20))</f>
        <v>#DIV/0!</v>
      </c>
      <c r="L20" s="218" t="e">
        <f>Admin!N14</f>
        <v>#DIV/0!</v>
      </c>
      <c r="M20" s="218" t="e">
        <f>L20*20</f>
        <v>#DIV/0!</v>
      </c>
    </row>
    <row r="21" spans="1:13" ht="16" customHeight="1">
      <c r="A21" s="92"/>
      <c r="B21" s="88"/>
      <c r="C21" s="88"/>
      <c r="D21" s="97"/>
      <c r="E21" s="39"/>
      <c r="F21" s="40"/>
      <c r="G21" s="47"/>
      <c r="H21" s="48"/>
      <c r="I21" s="95"/>
      <c r="J21" s="96"/>
      <c r="L21" s="218"/>
      <c r="M21" s="218"/>
    </row>
    <row r="22" spans="1:13" ht="16" customHeight="1">
      <c r="A22" s="92" t="s">
        <v>67</v>
      </c>
      <c r="B22" s="88" t="s">
        <v>3</v>
      </c>
      <c r="C22" s="93" t="e">
        <f>IF('Input Values'!AB37&gt;0,"Elevated by","Deficient by")</f>
        <v>#DIV/0!</v>
      </c>
      <c r="D22" s="94" t="e">
        <f>'Input Values'!AB37</f>
        <v>#DIV/0!</v>
      </c>
      <c r="E22" s="39" t="s">
        <v>219</v>
      </c>
      <c r="F22" s="40">
        <v>5000</v>
      </c>
      <c r="G22" s="45">
        <v>0</v>
      </c>
      <c r="H22" s="46">
        <f>G22*20</f>
        <v>0</v>
      </c>
      <c r="I22" s="95" t="e">
        <f>IF((G22+L22)&lt;0,0,(G22+L22))</f>
        <v>#DIV/0!</v>
      </c>
      <c r="J22" s="96" t="e">
        <f>IF((H22+M22)&lt;0,0,(H22+M22))</f>
        <v>#DIV/0!</v>
      </c>
      <c r="L22" s="218" t="e">
        <f>Admin!N16</f>
        <v>#DIV/0!</v>
      </c>
      <c r="M22" s="218" t="e">
        <f>L22*20</f>
        <v>#DIV/0!</v>
      </c>
    </row>
    <row r="23" spans="1:13" ht="16" customHeight="1">
      <c r="A23" s="92"/>
      <c r="B23" s="88"/>
      <c r="C23" s="88"/>
      <c r="D23" s="97"/>
      <c r="E23" s="39"/>
      <c r="F23" s="40"/>
      <c r="G23" s="47"/>
      <c r="H23" s="48"/>
      <c r="I23" s="95"/>
      <c r="J23" s="96"/>
      <c r="L23" s="218"/>
      <c r="M23" s="218"/>
    </row>
    <row r="24" spans="1:13">
      <c r="A24" s="92" t="s">
        <v>70</v>
      </c>
      <c r="B24" s="88" t="s">
        <v>6</v>
      </c>
      <c r="C24" s="93" t="e">
        <f>IF('Input Values'!AB40&gt;0,"Elevated by","Deficient by")</f>
        <v>#DIV/0!</v>
      </c>
      <c r="D24" s="94" t="e">
        <f>'Input Values'!AB40</f>
        <v>#DIV/0!</v>
      </c>
      <c r="E24" s="39" t="s">
        <v>42</v>
      </c>
      <c r="F24" s="40">
        <v>100000</v>
      </c>
      <c r="G24" s="45">
        <v>0</v>
      </c>
      <c r="H24" s="46">
        <f>G24*20</f>
        <v>0</v>
      </c>
      <c r="I24" s="95" t="e">
        <f>IF((G24+L24)&lt;0,0,(G24+L24))</f>
        <v>#DIV/0!</v>
      </c>
      <c r="J24" s="96" t="e">
        <f>IF((H24+M24)&lt;0,0,(H24+M24))</f>
        <v>#DIV/0!</v>
      </c>
      <c r="L24" s="218" t="e">
        <f>Admin!N22</f>
        <v>#DIV/0!</v>
      </c>
      <c r="M24" s="218" t="e">
        <f>L24*20</f>
        <v>#DIV/0!</v>
      </c>
    </row>
    <row r="25" spans="1:13">
      <c r="A25" s="92"/>
      <c r="B25" s="88"/>
      <c r="C25" s="93"/>
      <c r="D25" s="97"/>
      <c r="E25" s="39"/>
      <c r="F25" s="40"/>
      <c r="G25" s="49"/>
      <c r="H25" s="50"/>
      <c r="I25" s="95"/>
      <c r="J25" s="96"/>
      <c r="L25" s="218"/>
      <c r="M25" s="218"/>
    </row>
    <row r="26" spans="1:13">
      <c r="A26" s="92" t="s">
        <v>71</v>
      </c>
      <c r="B26" s="88" t="s">
        <v>7</v>
      </c>
      <c r="C26" s="93" t="e">
        <f>IF('Input Values'!AB41&gt;0,"Elevated by","Deficient by")</f>
        <v>#DIV/0!</v>
      </c>
      <c r="D26" s="94" t="e">
        <f>'Input Values'!AB41</f>
        <v>#DIV/0!</v>
      </c>
      <c r="E26" s="39" t="s">
        <v>123</v>
      </c>
      <c r="F26" s="40">
        <v>150250</v>
      </c>
      <c r="G26" s="45">
        <v>0</v>
      </c>
      <c r="H26" s="46">
        <f>G26*20</f>
        <v>0</v>
      </c>
      <c r="I26" s="95" t="e">
        <f>IF((G26+L26)&lt;0,0,(G26+L26))</f>
        <v>#DIV/0!</v>
      </c>
      <c r="J26" s="96" t="e">
        <f>IF((H26+M26)&lt;0,0,(H26+M26))</f>
        <v>#DIV/0!</v>
      </c>
      <c r="L26" s="218" t="e">
        <f>Admin!N24</f>
        <v>#DIV/0!</v>
      </c>
      <c r="M26" s="218" t="e">
        <f>L26*20</f>
        <v>#DIV/0!</v>
      </c>
    </row>
    <row r="27" spans="1:13">
      <c r="A27" s="92"/>
      <c r="B27" s="88"/>
      <c r="C27" s="93"/>
      <c r="D27" s="97"/>
      <c r="E27" s="39"/>
      <c r="F27" s="40"/>
      <c r="G27" s="49"/>
      <c r="H27" s="50"/>
      <c r="I27" s="95"/>
      <c r="J27" s="96"/>
      <c r="L27" s="218"/>
      <c r="M27" s="218"/>
    </row>
    <row r="28" spans="1:13">
      <c r="A28" s="92" t="s">
        <v>74</v>
      </c>
      <c r="B28" s="88" t="s">
        <v>11</v>
      </c>
      <c r="C28" s="93" t="e">
        <f>IF('Input Values'!AB45&gt;0,"Elevated by","Deficient by")</f>
        <v>#DIV/0!</v>
      </c>
      <c r="D28" s="94" t="e">
        <f>'Input Values'!AB45</f>
        <v>#DIV/0!</v>
      </c>
      <c r="E28" s="39" t="s">
        <v>122</v>
      </c>
      <c r="F28" s="40">
        <v>1000</v>
      </c>
      <c r="G28" s="51">
        <f>H28/20</f>
        <v>0</v>
      </c>
      <c r="H28" s="52">
        <v>0</v>
      </c>
      <c r="I28" s="95" t="e">
        <f>IF((G28+L28)&lt;0,0,(G28+L28))</f>
        <v>#DIV/0!</v>
      </c>
      <c r="J28" s="96" t="e">
        <f>IF((H28+M28)&lt;0,0,(H28+M28))</f>
        <v>#DIV/0!</v>
      </c>
      <c r="L28" s="218" t="e">
        <f>Admin!N32</f>
        <v>#DIV/0!</v>
      </c>
      <c r="M28" s="218" t="e">
        <f>L28*20</f>
        <v>#DIV/0!</v>
      </c>
    </row>
    <row r="29" spans="1:13">
      <c r="A29" s="92"/>
      <c r="B29" s="88"/>
      <c r="C29" s="93"/>
      <c r="D29" s="97"/>
      <c r="E29" s="39"/>
      <c r="F29" s="40"/>
      <c r="G29" s="47"/>
      <c r="H29" s="48"/>
      <c r="I29" s="95"/>
      <c r="J29" s="96"/>
      <c r="L29" s="218"/>
      <c r="M29" s="218"/>
    </row>
    <row r="30" spans="1:13">
      <c r="A30" s="92" t="s">
        <v>73</v>
      </c>
      <c r="B30" s="88" t="s">
        <v>10</v>
      </c>
      <c r="C30" s="93" t="e">
        <f>IF('Input Values'!AB44&gt;0,"Elevated by","Deficient by")</f>
        <v>#DIV/0!</v>
      </c>
      <c r="D30" s="94" t="e">
        <f>'Input Values'!AB44</f>
        <v>#DIV/0!</v>
      </c>
      <c r="E30" s="41" t="s">
        <v>43</v>
      </c>
      <c r="F30" s="42">
        <v>1000</v>
      </c>
      <c r="G30" s="51">
        <f>H30/20</f>
        <v>0</v>
      </c>
      <c r="H30" s="52">
        <v>0</v>
      </c>
      <c r="I30" s="95" t="e">
        <f>IF((G30+L30)&lt;0,0,(G30+L30))</f>
        <v>#DIV/0!</v>
      </c>
      <c r="J30" s="96" t="e">
        <f>IF((H30+M30)&lt;0,0,(H30+M30))</f>
        <v>#DIV/0!</v>
      </c>
      <c r="L30" s="218" t="e">
        <f>IF(D30&lt;0,Admin!N30*2, Admin!N30)</f>
        <v>#DIV/0!</v>
      </c>
      <c r="M30" s="218" t="e">
        <f>L30*20</f>
        <v>#DIV/0!</v>
      </c>
    </row>
    <row r="31" spans="1:13">
      <c r="A31" s="92"/>
      <c r="B31" s="88"/>
      <c r="C31" s="93"/>
      <c r="D31" s="97"/>
      <c r="E31" s="41"/>
      <c r="F31" s="42"/>
      <c r="G31" s="47"/>
      <c r="H31" s="48"/>
      <c r="I31" s="95"/>
      <c r="J31" s="96"/>
      <c r="L31" s="218"/>
      <c r="M31" s="218"/>
    </row>
    <row r="32" spans="1:13">
      <c r="A32" s="92" t="s">
        <v>76</v>
      </c>
      <c r="B32" s="88" t="s">
        <v>13</v>
      </c>
      <c r="C32" s="93" t="e">
        <f>IF('Input Values'!AB47&gt;0,"Elevated by","Deficient by")</f>
        <v>#DIV/0!</v>
      </c>
      <c r="D32" s="94" t="e">
        <f>'Input Values'!AB47</f>
        <v>#DIV/0!</v>
      </c>
      <c r="E32" s="39" t="s">
        <v>44</v>
      </c>
      <c r="F32" s="40">
        <v>60560</v>
      </c>
      <c r="G32" s="51">
        <f>H32/20</f>
        <v>0</v>
      </c>
      <c r="H32" s="52">
        <v>0</v>
      </c>
      <c r="I32" s="95" t="e">
        <f>IF((G32+L32)&lt;0,0,(G32+L32))</f>
        <v>#DIV/0!</v>
      </c>
      <c r="J32" s="96" t="e">
        <f>IF((H32+M32)&lt;0,0,(H32+M32))</f>
        <v>#DIV/0!</v>
      </c>
      <c r="L32" s="218" t="e">
        <f>Admin!N36</f>
        <v>#DIV/0!</v>
      </c>
      <c r="M32" s="218" t="e">
        <f>L32*20</f>
        <v>#DIV/0!</v>
      </c>
    </row>
    <row r="33" spans="1:13">
      <c r="A33" s="92"/>
      <c r="B33" s="88"/>
      <c r="C33" s="93"/>
      <c r="D33" s="97"/>
      <c r="E33" s="39"/>
      <c r="F33" s="40"/>
      <c r="G33" s="47"/>
      <c r="H33" s="48"/>
      <c r="I33" s="95"/>
      <c r="J33" s="96"/>
      <c r="L33" s="218"/>
      <c r="M33" s="218"/>
    </row>
    <row r="34" spans="1:13">
      <c r="A34" s="92" t="s">
        <v>77</v>
      </c>
      <c r="B34" s="88" t="s">
        <v>58</v>
      </c>
      <c r="C34" s="93" t="e">
        <f>IF('Input Values'!AB48&gt;0,"Elevated by","Deficient by")</f>
        <v>#DIV/0!</v>
      </c>
      <c r="D34" s="94" t="e">
        <f>'Input Values'!AB48</f>
        <v>#DIV/0!</v>
      </c>
      <c r="E34" s="39" t="s">
        <v>59</v>
      </c>
      <c r="F34" s="40">
        <v>10000</v>
      </c>
      <c r="G34" s="51">
        <f>H34/20</f>
        <v>0</v>
      </c>
      <c r="H34" s="52">
        <v>0</v>
      </c>
      <c r="I34" s="95" t="e">
        <f>IF((G34+L34)&lt;0,0,(G34+L34))</f>
        <v>#DIV/0!</v>
      </c>
      <c r="J34" s="96" t="e">
        <f>IF((H34+M34)&lt;0,0,(H34+M34))</f>
        <v>#DIV/0!</v>
      </c>
      <c r="L34" s="218" t="e">
        <f>Admin!N38</f>
        <v>#DIV/0!</v>
      </c>
      <c r="M34" s="218" t="e">
        <f>L34*20</f>
        <v>#DIV/0!</v>
      </c>
    </row>
    <row r="35" spans="1:13">
      <c r="A35" s="92"/>
      <c r="B35" s="88"/>
      <c r="C35" s="93"/>
      <c r="D35" s="97"/>
      <c r="E35" s="39"/>
      <c r="F35" s="40"/>
      <c r="G35" s="47"/>
      <c r="H35" s="48"/>
      <c r="I35" s="95"/>
      <c r="J35" s="96"/>
      <c r="L35" s="218"/>
      <c r="M35" s="218"/>
    </row>
    <row r="36" spans="1:13">
      <c r="A36" s="92" t="s">
        <v>80</v>
      </c>
      <c r="B36" s="88" t="s">
        <v>16</v>
      </c>
      <c r="C36" s="93" t="e">
        <f>IF('Input Values'!AB51&gt;0,"Elevated by","Deficient by")</f>
        <v>#DIV/0!</v>
      </c>
      <c r="D36" s="94" t="e">
        <f>'Input Values'!AB51</f>
        <v>#DIV/0!</v>
      </c>
      <c r="E36" s="39" t="s">
        <v>46</v>
      </c>
      <c r="F36" s="40">
        <v>100000</v>
      </c>
      <c r="G36" s="51">
        <f>H36/20</f>
        <v>0</v>
      </c>
      <c r="H36" s="52">
        <v>0</v>
      </c>
      <c r="I36" s="95" t="e">
        <f>IF((G36+L36)&lt;0,0,(G36+L36))</f>
        <v>#DIV/0!</v>
      </c>
      <c r="J36" s="96" t="e">
        <f>IF((H36+M36)&lt;0,0,(H36+M36))</f>
        <v>#DIV/0!</v>
      </c>
      <c r="L36" s="218" t="e">
        <f>Admin!N44</f>
        <v>#DIV/0!</v>
      </c>
      <c r="M36" s="218" t="e">
        <f>L36*20</f>
        <v>#DIV/0!</v>
      </c>
    </row>
    <row r="37" spans="1:13" ht="15" customHeight="1">
      <c r="A37" s="92"/>
      <c r="B37" s="88"/>
      <c r="C37" s="93"/>
      <c r="D37" s="97"/>
      <c r="E37" s="39"/>
      <c r="F37" s="40"/>
      <c r="G37" s="47"/>
      <c r="H37" s="48"/>
      <c r="I37" s="95"/>
      <c r="J37" s="96"/>
      <c r="L37" s="218"/>
      <c r="M37" s="218"/>
    </row>
    <row r="38" spans="1:13" ht="16" customHeight="1">
      <c r="A38" s="92" t="s">
        <v>78</v>
      </c>
      <c r="B38" s="88" t="s">
        <v>14</v>
      </c>
      <c r="C38" s="93" t="e">
        <f>IF('Input Values'!AB49&gt;0,"Elevated by","Deficient by")</f>
        <v>#DIV/0!</v>
      </c>
      <c r="D38" s="94" t="e">
        <f>'Input Values'!AB49</f>
        <v>#DIV/0!</v>
      </c>
      <c r="E38" s="41" t="s">
        <v>45</v>
      </c>
      <c r="F38" s="42">
        <v>10000</v>
      </c>
      <c r="G38" s="51">
        <f>H38/20</f>
        <v>0</v>
      </c>
      <c r="H38" s="52">
        <v>0</v>
      </c>
      <c r="I38" s="95" t="e">
        <f>IF((G38+L38)&lt;0,0,(G38+L38))</f>
        <v>#DIV/0!</v>
      </c>
      <c r="J38" s="96" t="e">
        <f>IF((H38+M38)&lt;0,0,(H38+M38))</f>
        <v>#DIV/0!</v>
      </c>
      <c r="L38" s="218" t="e">
        <f>IF(D38&lt;0,Admin!N40*10, Admin!N40)</f>
        <v>#DIV/0!</v>
      </c>
      <c r="M38" s="218" t="e">
        <f>L38*20</f>
        <v>#DIV/0!</v>
      </c>
    </row>
    <row r="39" spans="1:13" ht="15" customHeight="1">
      <c r="A39" s="92"/>
      <c r="B39" s="88"/>
      <c r="C39" s="93"/>
      <c r="D39" s="97"/>
      <c r="E39" s="41"/>
      <c r="F39" s="42"/>
      <c r="G39" s="47"/>
      <c r="H39" s="48"/>
      <c r="I39" s="95"/>
      <c r="J39" s="96"/>
      <c r="L39" s="218"/>
      <c r="M39" s="218"/>
    </row>
    <row r="40" spans="1:13">
      <c r="A40" s="92" t="s">
        <v>84</v>
      </c>
      <c r="B40" s="88" t="s">
        <v>20</v>
      </c>
      <c r="C40" s="93" t="e">
        <f>IF('Input Values'!AB55&gt;0,"Elevated by","Deficient by")</f>
        <v>#DIV/0!</v>
      </c>
      <c r="D40" s="94" t="e">
        <f>'Input Values'!AB55</f>
        <v>#DIV/0!</v>
      </c>
      <c r="E40" s="41" t="s">
        <v>48</v>
      </c>
      <c r="F40" s="42">
        <v>100000</v>
      </c>
      <c r="G40" s="45">
        <v>0</v>
      </c>
      <c r="H40" s="46">
        <f>G40*20</f>
        <v>0</v>
      </c>
      <c r="I40" s="95" t="e">
        <f>IF((G40+L40)&lt;0,0,(G40+L40))</f>
        <v>#DIV/0!</v>
      </c>
      <c r="J40" s="96" t="e">
        <f>IF((H40+M40)&lt;0,0,(H40+M40))</f>
        <v>#DIV/0!</v>
      </c>
      <c r="L40" s="218" t="e">
        <f>Admin!N52</f>
        <v>#DIV/0!</v>
      </c>
      <c r="M40" s="218" t="e">
        <f>L40*20</f>
        <v>#DIV/0!</v>
      </c>
    </row>
    <row r="41" spans="1:13">
      <c r="A41" s="92"/>
      <c r="B41" s="88"/>
      <c r="C41" s="93"/>
      <c r="D41" s="97"/>
      <c r="E41" s="41"/>
      <c r="F41" s="42"/>
      <c r="G41" s="47"/>
      <c r="H41" s="48"/>
      <c r="I41" s="95"/>
      <c r="J41" s="96"/>
      <c r="L41" s="218"/>
      <c r="M41" s="218"/>
    </row>
    <row r="42" spans="1:13">
      <c r="A42" s="92" t="s">
        <v>85</v>
      </c>
      <c r="B42" s="88" t="s">
        <v>21</v>
      </c>
      <c r="C42" s="93" t="e">
        <f>IF('Input Values'!AB56&gt;0,"Elevated by","Deficient by")</f>
        <v>#DIV/0!</v>
      </c>
      <c r="D42" s="94" t="e">
        <f>'Input Values'!AB56</f>
        <v>#DIV/0!</v>
      </c>
      <c r="E42" s="41" t="s">
        <v>49</v>
      </c>
      <c r="F42" s="42">
        <v>1000</v>
      </c>
      <c r="G42" s="51">
        <f>H42/20</f>
        <v>0</v>
      </c>
      <c r="H42" s="52">
        <v>0</v>
      </c>
      <c r="I42" s="95" t="e">
        <f>IF((G42+L42)&lt;0,0,(G42+L42))</f>
        <v>#DIV/0!</v>
      </c>
      <c r="J42" s="96" t="e">
        <f>IF((H42+M42)&lt;0,0,(H42+M42))</f>
        <v>#DIV/0!</v>
      </c>
      <c r="L42" s="218" t="e">
        <f>IF(D42&lt;0,Admin!N54*5, Admin!N54)</f>
        <v>#DIV/0!</v>
      </c>
      <c r="M42" s="218" t="e">
        <f>L42*20</f>
        <v>#DIV/0!</v>
      </c>
    </row>
    <row r="43" spans="1:13">
      <c r="A43" s="92"/>
      <c r="B43" s="88"/>
      <c r="C43" s="93"/>
      <c r="D43" s="97"/>
      <c r="E43" s="41"/>
      <c r="F43" s="42"/>
      <c r="G43" s="47"/>
      <c r="H43" s="48"/>
      <c r="I43" s="95"/>
      <c r="J43" s="96"/>
      <c r="L43" s="218"/>
      <c r="M43" s="218"/>
    </row>
    <row r="44" spans="1:13" ht="15" customHeight="1">
      <c r="A44" s="92" t="s">
        <v>86</v>
      </c>
      <c r="B44" s="88" t="s">
        <v>22</v>
      </c>
      <c r="C44" s="93" t="e">
        <f>IF('Input Values'!AB57&gt;0,"Elevated by","Deficient by")</f>
        <v>#DIV/0!</v>
      </c>
      <c r="D44" s="94" t="e">
        <f>'Input Values'!AB57</f>
        <v>#DIV/0!</v>
      </c>
      <c r="E44" s="39" t="s">
        <v>50</v>
      </c>
      <c r="F44" s="40">
        <v>10000</v>
      </c>
      <c r="G44" s="51">
        <f>H44/20</f>
        <v>0</v>
      </c>
      <c r="H44" s="52">
        <v>0</v>
      </c>
      <c r="I44" s="95" t="e">
        <f>IF((G44+L44)&lt;0,0,(G44+L44))</f>
        <v>#DIV/0!</v>
      </c>
      <c r="J44" s="96" t="e">
        <f>IF((H44+M44)&lt;0,0,(H44+M44))</f>
        <v>#DIV/0!</v>
      </c>
      <c r="L44" s="218" t="e">
        <f>Admin!N56</f>
        <v>#DIV/0!</v>
      </c>
      <c r="M44" s="218" t="e">
        <f>L44*20</f>
        <v>#DIV/0!</v>
      </c>
    </row>
    <row r="45" spans="1:13">
      <c r="A45" s="92"/>
      <c r="B45" s="88"/>
      <c r="C45" s="93"/>
      <c r="D45" s="97"/>
      <c r="E45" s="39"/>
      <c r="F45" s="40"/>
      <c r="G45" s="47"/>
      <c r="H45" s="48"/>
      <c r="I45" s="95"/>
      <c r="J45" s="96"/>
      <c r="L45" s="218"/>
      <c r="M45" s="218"/>
    </row>
    <row r="46" spans="1:13">
      <c r="A46" s="92" t="s">
        <v>88</v>
      </c>
      <c r="B46" s="88" t="s">
        <v>24</v>
      </c>
      <c r="C46" s="93" t="e">
        <f>IF('Input Values'!AB59&gt;0,"Elevated by","Deficient by")</f>
        <v>#DIV/0!</v>
      </c>
      <c r="D46" s="94" t="e">
        <f>'Input Values'!AB59</f>
        <v>#DIV/0!</v>
      </c>
      <c r="E46" s="39" t="s">
        <v>51</v>
      </c>
      <c r="F46" s="40">
        <v>1000</v>
      </c>
      <c r="G46" s="51">
        <f>H46/20</f>
        <v>0</v>
      </c>
      <c r="H46" s="52">
        <v>0</v>
      </c>
      <c r="I46" s="95" t="e">
        <f>IF((G46+L46)&lt;0,0,(G46+L46))</f>
        <v>#DIV/0!</v>
      </c>
      <c r="J46" s="96" t="e">
        <f>IF((H46+M46)&lt;0,0,(H46+M46))</f>
        <v>#DIV/0!</v>
      </c>
      <c r="L46" s="218" t="e">
        <f>Admin!N60</f>
        <v>#DIV/0!</v>
      </c>
      <c r="M46" s="218" t="e">
        <f>L46*20</f>
        <v>#DIV/0!</v>
      </c>
    </row>
    <row r="47" spans="1:13">
      <c r="A47" s="92"/>
      <c r="B47" s="88"/>
      <c r="C47" s="93"/>
      <c r="D47" s="97"/>
      <c r="E47" s="39"/>
      <c r="F47" s="40"/>
      <c r="G47" s="47"/>
      <c r="H47" s="48"/>
      <c r="I47" s="95"/>
      <c r="J47" s="96"/>
      <c r="L47" s="218"/>
      <c r="M47" s="218"/>
    </row>
    <row r="48" spans="1:13">
      <c r="A48" s="92" t="s">
        <v>82</v>
      </c>
      <c r="B48" s="88" t="s">
        <v>18</v>
      </c>
      <c r="C48" s="93" t="e">
        <f>IF('Input Values'!AB53&gt;0,"Elevated by","Deficient by")</f>
        <v>#DIV/0!</v>
      </c>
      <c r="D48" s="94" t="e">
        <f>'Input Values'!AB53</f>
        <v>#DIV/0!</v>
      </c>
      <c r="E48" s="39" t="s">
        <v>47</v>
      </c>
      <c r="F48" s="40">
        <v>100000</v>
      </c>
      <c r="G48" s="45">
        <v>0</v>
      </c>
      <c r="H48" s="46">
        <f>G48*20</f>
        <v>0</v>
      </c>
      <c r="I48" s="95" t="e">
        <f>IF((G48+L48)&lt;0,0,(G48+L48))</f>
        <v>#DIV/0!</v>
      </c>
      <c r="J48" s="96" t="e">
        <f>IF((H48+M48)&lt;0,0,(H48+M48))</f>
        <v>#DIV/0!</v>
      </c>
      <c r="L48" s="218" t="e">
        <f>Admin!N48</f>
        <v>#DIV/0!</v>
      </c>
      <c r="M48" s="218" t="e">
        <f>L48*20</f>
        <v>#DIV/0!</v>
      </c>
    </row>
    <row r="49" spans="1:13">
      <c r="A49" s="92"/>
      <c r="B49" s="88"/>
      <c r="C49" s="93"/>
      <c r="D49" s="97"/>
      <c r="E49" s="39"/>
      <c r="F49" s="40"/>
      <c r="G49" s="47"/>
      <c r="H49" s="48"/>
      <c r="I49" s="95"/>
      <c r="J49" s="96"/>
      <c r="L49" s="218"/>
      <c r="M49" s="218"/>
    </row>
    <row r="50" spans="1:13">
      <c r="A50" s="92" t="s">
        <v>90</v>
      </c>
      <c r="B50" s="88" t="s">
        <v>26</v>
      </c>
      <c r="C50" s="93" t="e">
        <f>IF('Input Values'!AB61&gt;0,"Elevated by","Deficient by")</f>
        <v>#DIV/0!</v>
      </c>
      <c r="D50" s="94" t="e">
        <f>'Input Values'!AB61</f>
        <v>#DIV/0!</v>
      </c>
      <c r="E50" s="41" t="s">
        <v>52</v>
      </c>
      <c r="F50" s="42">
        <v>10000</v>
      </c>
      <c r="G50" s="51">
        <f>H50/20</f>
        <v>0</v>
      </c>
      <c r="H50" s="52">
        <v>0</v>
      </c>
      <c r="I50" s="95" t="e">
        <f>IF((G50+L50)&lt;0,0,(G50+L50))</f>
        <v>#DIV/0!</v>
      </c>
      <c r="J50" s="96" t="e">
        <f>IF((H50+M50)&lt;0,0,(H50+M50))</f>
        <v>#DIV/0!</v>
      </c>
      <c r="L50" s="218" t="e">
        <f>Admin!N64</f>
        <v>#DIV/0!</v>
      </c>
      <c r="M50" s="218" t="e">
        <f>L50*20</f>
        <v>#DIV/0!</v>
      </c>
    </row>
    <row r="51" spans="1:13">
      <c r="A51" s="92"/>
      <c r="B51" s="88"/>
      <c r="C51" s="93"/>
      <c r="D51" s="97"/>
      <c r="E51" s="41"/>
      <c r="F51" s="42"/>
      <c r="G51" s="47"/>
      <c r="H51" s="48"/>
      <c r="I51" s="95"/>
      <c r="J51" s="96"/>
      <c r="L51" s="218"/>
      <c r="M51" s="218"/>
    </row>
    <row r="52" spans="1:13">
      <c r="A52" s="92" t="s">
        <v>92</v>
      </c>
      <c r="B52" s="88" t="s">
        <v>28</v>
      </c>
      <c r="C52" s="93" t="e">
        <f>IF('Input Values'!AB63&gt;0,"Elevated by","Deficient by")</f>
        <v>#DIV/0!</v>
      </c>
      <c r="D52" s="94" t="e">
        <f>'Input Values'!AB63</f>
        <v>#DIV/0!</v>
      </c>
      <c r="E52" s="41" t="s">
        <v>53</v>
      </c>
      <c r="F52" s="42">
        <v>250</v>
      </c>
      <c r="G52" s="51">
        <f>H52/20</f>
        <v>0</v>
      </c>
      <c r="H52" s="52">
        <v>0</v>
      </c>
      <c r="I52" s="95" t="e">
        <f>IF((G52+L52)&lt;0,0,(G52+L52))</f>
        <v>#DIV/0!</v>
      </c>
      <c r="J52" s="96" t="e">
        <f>IF((H52+M52)&lt;0,0,(H52+M52))</f>
        <v>#DIV/0!</v>
      </c>
      <c r="L52" s="218" t="e">
        <f>Admin!N68</f>
        <v>#DIV/0!</v>
      </c>
      <c r="M52" s="218" t="e">
        <f>L52*20</f>
        <v>#DIV/0!</v>
      </c>
    </row>
    <row r="53" spans="1:13">
      <c r="A53" s="92"/>
      <c r="B53" s="88"/>
      <c r="C53" s="93"/>
      <c r="D53" s="97"/>
      <c r="E53" s="41"/>
      <c r="F53" s="42"/>
      <c r="G53" s="47"/>
      <c r="H53" s="48"/>
      <c r="I53" s="95"/>
      <c r="J53" s="96"/>
      <c r="L53" s="218"/>
      <c r="M53" s="218"/>
    </row>
    <row r="54" spans="1:13">
      <c r="A54" s="92" t="s">
        <v>93</v>
      </c>
      <c r="B54" s="88" t="s">
        <v>29</v>
      </c>
      <c r="C54" s="93" t="e">
        <f>IF('Input Values'!AB64&gt;0,"Elevated by","Deficient by")</f>
        <v>#DIV/0!</v>
      </c>
      <c r="D54" s="94" t="e">
        <f>'Input Values'!AB64</f>
        <v>#DIV/0!</v>
      </c>
      <c r="E54" s="41" t="s">
        <v>54</v>
      </c>
      <c r="F54" s="42">
        <v>10000</v>
      </c>
      <c r="G54" s="51">
        <f>H54/20</f>
        <v>0</v>
      </c>
      <c r="H54" s="52">
        <v>0</v>
      </c>
      <c r="I54" s="95" t="e">
        <f>IF((G54+L54)&lt;0,0,(G54+L54))</f>
        <v>#DIV/0!</v>
      </c>
      <c r="J54" s="96" t="e">
        <f>IF((H54+M54)&lt;0,0,(H54+M54))</f>
        <v>#DIV/0!</v>
      </c>
      <c r="L54" s="218" t="e">
        <f>Admin!N70</f>
        <v>#DIV/0!</v>
      </c>
      <c r="M54" s="218" t="e">
        <f>L54*20</f>
        <v>#DIV/0!</v>
      </c>
    </row>
    <row r="55" spans="1:13">
      <c r="A55" s="92"/>
      <c r="B55" s="88"/>
      <c r="C55" s="93"/>
      <c r="D55" s="97"/>
      <c r="E55" s="41"/>
      <c r="F55" s="42"/>
      <c r="G55" s="47"/>
      <c r="H55" s="48"/>
      <c r="I55" s="95"/>
      <c r="J55" s="96"/>
      <c r="L55" s="218"/>
      <c r="M55" s="218"/>
    </row>
    <row r="56" spans="1:13">
      <c r="A56" s="92" t="s">
        <v>94</v>
      </c>
      <c r="B56" s="88" t="s">
        <v>30</v>
      </c>
      <c r="C56" s="93" t="e">
        <f>IF('Input Values'!AB65&gt;0,"Elevated by","Deficient by")</f>
        <v>#DIV/0!</v>
      </c>
      <c r="D56" s="94" t="e">
        <f>'Input Values'!AB65</f>
        <v>#DIV/0!</v>
      </c>
      <c r="E56" s="41" t="s">
        <v>55</v>
      </c>
      <c r="F56" s="42">
        <v>100000</v>
      </c>
      <c r="G56" s="45">
        <v>0</v>
      </c>
      <c r="H56" s="46">
        <f>G56*20</f>
        <v>0</v>
      </c>
      <c r="I56" s="95" t="e">
        <f>IF((G56+L56)&lt;0,0,(G56+L56))</f>
        <v>#DIV/0!</v>
      </c>
      <c r="J56" s="96" t="e">
        <f>IF((H56+M56)&lt;0,0,(H56+M56))</f>
        <v>#DIV/0!</v>
      </c>
      <c r="L56" s="218" t="e">
        <f>Admin!N72</f>
        <v>#DIV/0!</v>
      </c>
      <c r="M56" s="218" t="e">
        <f>L56*20</f>
        <v>#DIV/0!</v>
      </c>
    </row>
    <row r="57" spans="1:13">
      <c r="A57" s="92"/>
      <c r="B57" s="88"/>
      <c r="C57" s="93"/>
      <c r="D57" s="97"/>
      <c r="E57" s="41"/>
      <c r="F57" s="42"/>
      <c r="G57" s="47"/>
      <c r="H57" s="48"/>
      <c r="I57" s="95"/>
      <c r="J57" s="96"/>
      <c r="L57" s="218"/>
      <c r="M57" s="218"/>
    </row>
    <row r="58" spans="1:13">
      <c r="A58" s="92" t="s">
        <v>97</v>
      </c>
      <c r="B58" s="88" t="s">
        <v>32</v>
      </c>
      <c r="C58" s="93" t="e">
        <f>IF('Input Values'!AB68&gt;0,"Elevated by","Deficient by")</f>
        <v>#DIV/0!</v>
      </c>
      <c r="D58" s="94" t="e">
        <f>'Input Values'!AB68</f>
        <v>#DIV/0!</v>
      </c>
      <c r="E58" s="41" t="s">
        <v>56</v>
      </c>
      <c r="F58" s="42">
        <v>1000</v>
      </c>
      <c r="G58" s="51">
        <f>H58/20</f>
        <v>0</v>
      </c>
      <c r="H58" s="52">
        <v>0</v>
      </c>
      <c r="I58" s="95" t="e">
        <f>IF((G58+L58)&lt;0,0,(G58+L58))</f>
        <v>#DIV/0!</v>
      </c>
      <c r="J58" s="96" t="e">
        <f>IF((H58+M58)&lt;0,0,(H58+M58))</f>
        <v>#DIV/0!</v>
      </c>
      <c r="L58" s="218" t="e">
        <f>Admin!N78</f>
        <v>#DIV/0!</v>
      </c>
      <c r="M58" s="218" t="e">
        <f>L58*20</f>
        <v>#DIV/0!</v>
      </c>
    </row>
    <row r="59" spans="1:13">
      <c r="A59" s="92"/>
      <c r="B59" s="88"/>
      <c r="C59" s="93"/>
      <c r="D59" s="97"/>
      <c r="E59" s="41"/>
      <c r="F59" s="42"/>
      <c r="G59" s="47"/>
      <c r="H59" s="48"/>
      <c r="I59" s="95"/>
      <c r="J59" s="96"/>
      <c r="L59" s="219"/>
      <c r="M59" s="219"/>
    </row>
    <row r="60" spans="1:13" ht="17" thickBot="1">
      <c r="A60" s="98" t="s">
        <v>98</v>
      </c>
      <c r="B60" s="99" t="s">
        <v>33</v>
      </c>
      <c r="C60" s="100" t="e">
        <f>IF('Input Values'!AB69&gt;0,"Elevated by","Deficient by")</f>
        <v>#DIV/0!</v>
      </c>
      <c r="D60" s="101" t="e">
        <f>'Input Values'!AB69</f>
        <v>#DIV/0!</v>
      </c>
      <c r="E60" s="43" t="s">
        <v>57</v>
      </c>
      <c r="F60" s="44">
        <v>1000</v>
      </c>
      <c r="G60" s="53">
        <f>H60/20</f>
        <v>0</v>
      </c>
      <c r="H60" s="54">
        <v>0</v>
      </c>
      <c r="I60" s="102" t="e">
        <f>IF((G60+L60)&lt;0,0,(G60+L60))</f>
        <v>#DIV/0!</v>
      </c>
      <c r="J60" s="103" t="e">
        <f>IF((H60+M60)&lt;0,0,(H60+M60))</f>
        <v>#DIV/0!</v>
      </c>
      <c r="L60" s="219" t="e">
        <f>Admin!N80</f>
        <v>#DIV/0!</v>
      </c>
      <c r="M60" s="218" t="e">
        <f>L60*20</f>
        <v>#DIV/0!</v>
      </c>
    </row>
    <row r="61" spans="1:13">
      <c r="A61" s="104"/>
      <c r="B61" s="104"/>
      <c r="C61" s="104"/>
      <c r="D61" s="104"/>
      <c r="E61" s="89"/>
      <c r="F61" s="89"/>
      <c r="G61" s="89"/>
      <c r="H61" s="89"/>
      <c r="I61" s="89"/>
      <c r="J61" s="89"/>
    </row>
    <row r="62" spans="1:13" ht="17" thickBot="1">
      <c r="A62" s="3"/>
      <c r="B62" s="26"/>
      <c r="C62" s="26"/>
      <c r="D62" s="105"/>
      <c r="E62" s="106"/>
      <c r="F62" s="106"/>
    </row>
    <row r="63" spans="1:13">
      <c r="A63" s="329" t="s">
        <v>187</v>
      </c>
      <c r="B63" s="330"/>
      <c r="C63" s="330"/>
      <c r="D63" s="330"/>
      <c r="E63" s="330"/>
      <c r="F63" s="330"/>
      <c r="G63" s="330"/>
      <c r="H63" s="330"/>
      <c r="I63" s="330"/>
      <c r="J63" s="331"/>
    </row>
    <row r="64" spans="1:13">
      <c r="A64" s="313"/>
      <c r="B64" s="311"/>
      <c r="C64" s="311"/>
      <c r="D64" s="311"/>
      <c r="E64" s="311"/>
      <c r="F64" s="311"/>
      <c r="G64" s="311"/>
      <c r="H64" s="311"/>
      <c r="I64" s="311"/>
      <c r="J64" s="312"/>
    </row>
    <row r="65" spans="1:13" ht="15" customHeight="1">
      <c r="A65" s="313"/>
      <c r="B65" s="311"/>
      <c r="C65" s="311"/>
      <c r="D65" s="311"/>
      <c r="E65" s="311"/>
      <c r="F65" s="311"/>
      <c r="G65" s="311"/>
      <c r="H65" s="311"/>
      <c r="I65" s="311"/>
      <c r="J65" s="312"/>
    </row>
    <row r="66" spans="1:13" ht="15" customHeight="1">
      <c r="A66" s="129"/>
      <c r="B66" s="130"/>
      <c r="C66" s="130"/>
      <c r="D66" s="130"/>
      <c r="E66" s="130"/>
      <c r="F66" s="130"/>
      <c r="G66" s="130"/>
      <c r="H66" s="130"/>
      <c r="I66" s="130"/>
      <c r="J66" s="131"/>
    </row>
    <row r="67" spans="1:13" ht="15" customHeight="1">
      <c r="A67" s="310" t="s">
        <v>188</v>
      </c>
      <c r="B67" s="311"/>
      <c r="C67" s="311"/>
      <c r="D67" s="311"/>
      <c r="E67" s="311"/>
      <c r="F67" s="311"/>
      <c r="G67" s="311"/>
      <c r="H67" s="311"/>
      <c r="I67" s="311"/>
      <c r="J67" s="312"/>
    </row>
    <row r="68" spans="1:13" ht="15" customHeight="1">
      <c r="A68" s="313"/>
      <c r="B68" s="311"/>
      <c r="C68" s="311"/>
      <c r="D68" s="311"/>
      <c r="E68" s="311"/>
      <c r="F68" s="311"/>
      <c r="G68" s="311"/>
      <c r="H68" s="311"/>
      <c r="I68" s="311"/>
      <c r="J68" s="312"/>
    </row>
    <row r="69" spans="1:13" ht="15" customHeight="1">
      <c r="A69" s="313"/>
      <c r="B69" s="311"/>
      <c r="C69" s="311"/>
      <c r="D69" s="311"/>
      <c r="E69" s="311"/>
      <c r="F69" s="311"/>
      <c r="G69" s="311"/>
      <c r="H69" s="311"/>
      <c r="I69" s="311"/>
      <c r="J69" s="312"/>
    </row>
    <row r="70" spans="1:13" ht="15" customHeight="1">
      <c r="A70" s="110" t="s">
        <v>156</v>
      </c>
      <c r="B70" s="111"/>
      <c r="C70" s="111"/>
      <c r="D70" s="111"/>
      <c r="E70" s="111"/>
      <c r="F70" s="111"/>
      <c r="G70" s="111"/>
      <c r="H70" s="112"/>
      <c r="I70" s="112"/>
      <c r="J70" s="113"/>
    </row>
    <row r="71" spans="1:13" ht="15" customHeight="1">
      <c r="A71" s="110"/>
      <c r="B71" s="111"/>
      <c r="C71" s="111"/>
      <c r="D71" s="111"/>
      <c r="E71" s="111"/>
      <c r="F71" s="111"/>
      <c r="G71" s="111"/>
      <c r="H71" s="112"/>
      <c r="I71" s="112"/>
      <c r="J71" s="113"/>
    </row>
    <row r="72" spans="1:13" ht="15" customHeight="1">
      <c r="A72" s="313" t="s">
        <v>158</v>
      </c>
      <c r="B72" s="311"/>
      <c r="C72" s="311"/>
      <c r="D72" s="311"/>
      <c r="E72" s="311"/>
      <c r="F72" s="311"/>
      <c r="G72" s="311"/>
      <c r="H72" s="311"/>
      <c r="I72" s="311"/>
      <c r="J72" s="312"/>
    </row>
    <row r="73" spans="1:13" ht="15" customHeight="1">
      <c r="A73" s="313"/>
      <c r="B73" s="311"/>
      <c r="C73" s="311"/>
      <c r="D73" s="311"/>
      <c r="E73" s="311"/>
      <c r="F73" s="311"/>
      <c r="G73" s="311"/>
      <c r="H73" s="311"/>
      <c r="I73" s="311"/>
      <c r="J73" s="312"/>
    </row>
    <row r="74" spans="1:13" ht="15" customHeight="1">
      <c r="A74" s="313"/>
      <c r="B74" s="311"/>
      <c r="C74" s="311"/>
      <c r="D74" s="311"/>
      <c r="E74" s="311"/>
      <c r="F74" s="311"/>
      <c r="G74" s="311"/>
      <c r="H74" s="311"/>
      <c r="I74" s="311"/>
      <c r="J74" s="312"/>
    </row>
    <row r="75" spans="1:13" ht="15" customHeight="1">
      <c r="A75" s="107"/>
      <c r="B75" s="108"/>
      <c r="C75" s="108"/>
      <c r="D75" s="108"/>
      <c r="E75" s="108"/>
      <c r="F75" s="108"/>
      <c r="G75" s="108"/>
      <c r="H75" s="108"/>
      <c r="I75" s="108"/>
      <c r="J75" s="109"/>
    </row>
    <row r="76" spans="1:13" ht="15" customHeight="1">
      <c r="A76" s="114" t="s">
        <v>124</v>
      </c>
      <c r="B76" s="314" t="s">
        <v>127</v>
      </c>
      <c r="C76" s="314"/>
      <c r="D76" s="314"/>
      <c r="E76" s="314"/>
      <c r="F76" s="314"/>
      <c r="G76" s="314"/>
      <c r="H76" s="115"/>
      <c r="I76" s="115"/>
      <c r="J76" s="116"/>
    </row>
    <row r="77" spans="1:13">
      <c r="A77" s="117" t="s">
        <v>73</v>
      </c>
      <c r="B77" s="118" t="e">
        <f>C30</f>
        <v>#DIV/0!</v>
      </c>
      <c r="C77" s="119" t="e">
        <f>D30</f>
        <v>#DIV/0!</v>
      </c>
      <c r="D77" s="120"/>
      <c r="E77" s="120"/>
      <c r="F77" s="120"/>
      <c r="G77" s="121"/>
      <c r="H77" s="121"/>
      <c r="I77" s="121"/>
      <c r="J77" s="122"/>
    </row>
    <row r="78" spans="1:13" s="81" customFormat="1" ht="16" customHeight="1">
      <c r="A78" s="117" t="s">
        <v>76</v>
      </c>
      <c r="B78" s="118" t="e">
        <f>C32</f>
        <v>#DIV/0!</v>
      </c>
      <c r="C78" s="119" t="e">
        <f>D32</f>
        <v>#DIV/0!</v>
      </c>
      <c r="D78" s="120"/>
      <c r="E78" s="120"/>
      <c r="F78" s="120"/>
      <c r="G78" s="121"/>
      <c r="H78" s="121"/>
      <c r="I78" s="121"/>
      <c r="J78" s="122"/>
      <c r="L78" s="220"/>
      <c r="M78" s="220"/>
    </row>
    <row r="79" spans="1:13">
      <c r="A79" s="117" t="s">
        <v>78</v>
      </c>
      <c r="B79" s="118" t="e">
        <f>C38</f>
        <v>#DIV/0!</v>
      </c>
      <c r="C79" s="119" t="e">
        <f>D38</f>
        <v>#DIV/0!</v>
      </c>
      <c r="D79" s="120"/>
      <c r="E79" s="120"/>
      <c r="F79" s="120"/>
      <c r="G79" s="121"/>
      <c r="H79" s="121"/>
      <c r="I79" s="121"/>
      <c r="J79" s="122"/>
    </row>
    <row r="80" spans="1:13">
      <c r="A80" s="117" t="s">
        <v>85</v>
      </c>
      <c r="B80" s="118" t="e">
        <f>C42</f>
        <v>#DIV/0!</v>
      </c>
      <c r="C80" s="119" t="e">
        <f>D42</f>
        <v>#DIV/0!</v>
      </c>
      <c r="D80" s="120"/>
      <c r="E80" s="120"/>
      <c r="F80" s="120"/>
      <c r="G80" s="121"/>
      <c r="H80" s="121"/>
      <c r="I80" s="121"/>
      <c r="J80" s="122"/>
    </row>
    <row r="81" spans="1:10">
      <c r="A81" s="117" t="s">
        <v>86</v>
      </c>
      <c r="B81" s="118" t="e">
        <f>C44</f>
        <v>#DIV/0!</v>
      </c>
      <c r="C81" s="119" t="e">
        <f>D44</f>
        <v>#DIV/0!</v>
      </c>
      <c r="D81" s="120"/>
      <c r="E81" s="120"/>
      <c r="F81" s="120"/>
      <c r="G81" s="121"/>
      <c r="H81" s="121"/>
      <c r="I81" s="121"/>
      <c r="J81" s="122"/>
    </row>
    <row r="82" spans="1:10">
      <c r="A82" s="117" t="s">
        <v>88</v>
      </c>
      <c r="B82" s="118" t="e">
        <f>C46</f>
        <v>#DIV/0!</v>
      </c>
      <c r="C82" s="119" t="e">
        <f>D46</f>
        <v>#DIV/0!</v>
      </c>
      <c r="D82" s="120"/>
      <c r="E82" s="120"/>
      <c r="F82" s="120"/>
      <c r="G82" s="121"/>
      <c r="H82" s="121"/>
      <c r="I82" s="121"/>
      <c r="J82" s="122"/>
    </row>
    <row r="83" spans="1:10">
      <c r="A83" s="117" t="s">
        <v>92</v>
      </c>
      <c r="B83" s="118" t="e">
        <f>C52</f>
        <v>#DIV/0!</v>
      </c>
      <c r="C83" s="119" t="e">
        <f>D52</f>
        <v>#DIV/0!</v>
      </c>
      <c r="D83" s="120"/>
      <c r="E83" s="120"/>
      <c r="F83" s="120"/>
      <c r="G83" s="121"/>
      <c r="H83" s="121"/>
      <c r="I83" s="121"/>
      <c r="J83" s="122"/>
    </row>
    <row r="84" spans="1:10">
      <c r="A84" s="117" t="s">
        <v>97</v>
      </c>
      <c r="B84" s="118" t="e">
        <f>C58</f>
        <v>#DIV/0!</v>
      </c>
      <c r="C84" s="119" t="e">
        <f>D58</f>
        <v>#DIV/0!</v>
      </c>
      <c r="D84" s="120"/>
      <c r="E84" s="120"/>
      <c r="F84" s="120"/>
      <c r="G84" s="121"/>
      <c r="H84" s="121"/>
      <c r="I84" s="121"/>
      <c r="J84" s="122"/>
    </row>
    <row r="85" spans="1:10" ht="17" thickBot="1">
      <c r="A85" s="123" t="s">
        <v>98</v>
      </c>
      <c r="B85" s="124" t="e">
        <f>C60</f>
        <v>#DIV/0!</v>
      </c>
      <c r="C85" s="125" t="e">
        <f>D60</f>
        <v>#DIV/0!</v>
      </c>
      <c r="D85" s="126"/>
      <c r="E85" s="126"/>
      <c r="F85" s="126"/>
      <c r="G85" s="127"/>
      <c r="H85" s="127"/>
      <c r="I85" s="127"/>
      <c r="J85" s="128"/>
    </row>
    <row r="90" spans="1:10">
      <c r="A90" s="3"/>
      <c r="B90" s="26"/>
      <c r="C90" s="26"/>
      <c r="D90" s="105"/>
      <c r="E90" s="106"/>
      <c r="F90" s="106"/>
    </row>
    <row r="92" spans="1:10">
      <c r="A92" s="3"/>
      <c r="B92" s="26"/>
      <c r="C92" s="26"/>
      <c r="D92" s="105"/>
      <c r="E92" s="106"/>
      <c r="F92" s="106"/>
    </row>
    <row r="93" spans="1:10">
      <c r="A93" s="3"/>
      <c r="B93" s="26"/>
      <c r="C93" s="26"/>
      <c r="D93" s="105"/>
      <c r="E93" s="106"/>
      <c r="F93" s="106"/>
    </row>
    <row r="94" spans="1:10">
      <c r="A94" s="3"/>
      <c r="B94" s="26"/>
      <c r="C94" s="26"/>
      <c r="D94" s="105"/>
      <c r="E94" s="106"/>
      <c r="F94" s="106"/>
    </row>
    <row r="95" spans="1:10">
      <c r="A95" s="3"/>
      <c r="B95" s="26"/>
      <c r="C95" s="26"/>
      <c r="D95" s="105"/>
      <c r="E95" s="106"/>
      <c r="F95" s="106"/>
    </row>
    <row r="96" spans="1:10">
      <c r="A96" s="3"/>
      <c r="B96" s="26"/>
      <c r="C96" s="26"/>
      <c r="D96" s="105"/>
      <c r="E96" s="106"/>
      <c r="F96" s="106"/>
    </row>
    <row r="97" spans="1:6">
      <c r="A97" s="3"/>
      <c r="B97" s="26"/>
      <c r="C97" s="26"/>
      <c r="D97" s="105"/>
      <c r="E97" s="106"/>
      <c r="F97" s="106"/>
    </row>
    <row r="98" spans="1:6">
      <c r="A98" s="3"/>
      <c r="B98" s="26"/>
      <c r="C98" s="26"/>
      <c r="D98" s="105"/>
      <c r="E98" s="106"/>
      <c r="F98" s="106"/>
    </row>
    <row r="99" spans="1:6">
      <c r="A99" s="3"/>
      <c r="B99" s="26"/>
      <c r="C99" s="26"/>
      <c r="D99" s="105"/>
      <c r="E99" s="106"/>
      <c r="F99" s="106"/>
    </row>
    <row r="100" spans="1:6">
      <c r="A100" s="3"/>
      <c r="B100" s="26"/>
      <c r="C100" s="26"/>
      <c r="D100" s="105"/>
      <c r="E100" s="106"/>
      <c r="F100" s="106"/>
    </row>
    <row r="101" spans="1:6">
      <c r="A101" s="3"/>
      <c r="B101" s="26"/>
      <c r="C101" s="26"/>
      <c r="D101" s="105"/>
      <c r="E101" s="106"/>
      <c r="F101" s="106"/>
    </row>
    <row r="102" spans="1:6">
      <c r="A102" s="3"/>
      <c r="B102" s="26"/>
      <c r="C102" s="26"/>
      <c r="D102" s="105"/>
      <c r="E102" s="106"/>
      <c r="F102" s="106"/>
    </row>
    <row r="103" spans="1:6">
      <c r="A103" s="3"/>
      <c r="B103" s="26"/>
      <c r="C103" s="26"/>
      <c r="D103" s="105"/>
      <c r="E103" s="106"/>
      <c r="F103" s="106"/>
    </row>
    <row r="104" spans="1:6">
      <c r="A104" s="3"/>
      <c r="B104" s="26"/>
      <c r="C104" s="26"/>
      <c r="D104" s="105"/>
      <c r="E104" s="106"/>
      <c r="F104" s="106"/>
    </row>
    <row r="105" spans="1:6">
      <c r="A105" s="3"/>
      <c r="B105" s="26"/>
      <c r="C105" s="26"/>
      <c r="D105" s="105"/>
      <c r="E105" s="106"/>
      <c r="F105" s="106"/>
    </row>
  </sheetData>
  <sheetProtection password="F283" sheet="1" objects="1" scenarios="1" selectLockedCells="1"/>
  <sortState ref="A6:B39">
    <sortCondition ref="A6"/>
  </sortState>
  <mergeCells count="11">
    <mergeCell ref="A15:F15"/>
    <mergeCell ref="B76:C76"/>
    <mergeCell ref="L18:M18"/>
    <mergeCell ref="C19:D19"/>
    <mergeCell ref="E18:E19"/>
    <mergeCell ref="G18:H18"/>
    <mergeCell ref="I18:J18"/>
    <mergeCell ref="D76:G76"/>
    <mergeCell ref="A63:J65"/>
    <mergeCell ref="A67:J69"/>
    <mergeCell ref="A72:J7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T93"/>
  <sheetViews>
    <sheetView windowProtection="1" zoomScale="150" zoomScaleNormal="150" zoomScalePageLayoutView="150" workbookViewId="0"/>
  </sheetViews>
  <sheetFormatPr baseColWidth="10" defaultColWidth="7" defaultRowHeight="11" x14ac:dyDescent="0"/>
  <cols>
    <col min="1" max="15" width="7" style="231"/>
    <col min="16" max="16384" width="7" style="230"/>
  </cols>
  <sheetData>
    <row r="1" spans="1:20" s="231" customFormat="1">
      <c r="A1" s="215" t="s">
        <v>210</v>
      </c>
      <c r="B1" s="170"/>
    </row>
    <row r="2" spans="1:20" s="231" customFormat="1" ht="11" customHeight="1">
      <c r="A2" s="170" t="s">
        <v>105</v>
      </c>
      <c r="B2" s="228"/>
      <c r="C2" s="171"/>
      <c r="D2" s="172"/>
      <c r="N2" s="337" t="s">
        <v>121</v>
      </c>
      <c r="O2" s="338"/>
      <c r="P2" s="339"/>
      <c r="Q2" s="339"/>
    </row>
    <row r="3" spans="1:20" s="231" customFormat="1" ht="11" customHeight="1">
      <c r="A3" s="173" t="s">
        <v>38</v>
      </c>
      <c r="B3" s="228">
        <f>'Input Values'!C28</f>
        <v>0</v>
      </c>
      <c r="C3" s="171"/>
      <c r="D3" s="172"/>
      <c r="E3" s="174"/>
      <c r="N3" s="338"/>
      <c r="O3" s="338"/>
      <c r="P3" s="339"/>
      <c r="Q3" s="339"/>
    </row>
    <row r="4" spans="1:20" s="231" customFormat="1" ht="11" customHeight="1">
      <c r="A4" s="231" t="s">
        <v>172</v>
      </c>
      <c r="B4" s="175">
        <f>'Input Values'!C29</f>
        <v>0</v>
      </c>
      <c r="D4" s="172"/>
      <c r="E4" s="176"/>
      <c r="N4" s="338"/>
      <c r="O4" s="338"/>
      <c r="P4" s="339"/>
      <c r="Q4" s="339"/>
    </row>
    <row r="5" spans="1:20" s="231" customFormat="1" ht="11" customHeight="1">
      <c r="D5" s="172"/>
      <c r="E5" s="176"/>
      <c r="N5" s="338"/>
      <c r="O5" s="338"/>
      <c r="P5" s="339"/>
      <c r="Q5" s="339"/>
    </row>
    <row r="6" spans="1:20" s="231" customFormat="1" ht="11" customHeight="1">
      <c r="F6" s="334" t="s">
        <v>37</v>
      </c>
      <c r="G6" s="336"/>
      <c r="H6" s="336"/>
      <c r="N6" s="338"/>
      <c r="O6" s="338"/>
      <c r="P6" s="339"/>
      <c r="Q6" s="339"/>
    </row>
    <row r="7" spans="1:20" s="231" customFormat="1" ht="11" customHeight="1">
      <c r="F7" s="230" t="s">
        <v>117</v>
      </c>
      <c r="G7" s="230" t="s">
        <v>118</v>
      </c>
      <c r="H7" s="230" t="s">
        <v>36</v>
      </c>
      <c r="P7" s="334" t="s">
        <v>128</v>
      </c>
      <c r="Q7" s="335"/>
      <c r="R7" s="335"/>
      <c r="S7" s="335"/>
      <c r="T7" s="335"/>
    </row>
    <row r="8" spans="1:20" s="231" customFormat="1" ht="11" customHeight="1">
      <c r="A8" s="177"/>
      <c r="B8" s="178"/>
      <c r="D8" s="178"/>
      <c r="E8" s="178"/>
      <c r="F8" s="179">
        <f>F85/1000</f>
        <v>35.027954165060613</v>
      </c>
      <c r="G8" s="179">
        <f>G85/1000</f>
        <v>0</v>
      </c>
      <c r="H8" s="230" t="s">
        <v>60</v>
      </c>
      <c r="J8" s="231" t="s">
        <v>114</v>
      </c>
      <c r="K8" s="332" t="s">
        <v>61</v>
      </c>
      <c r="L8" s="333"/>
      <c r="M8" s="229"/>
      <c r="N8" s="332" t="s">
        <v>120</v>
      </c>
      <c r="O8" s="333"/>
      <c r="P8" s="332" t="s">
        <v>61</v>
      </c>
      <c r="Q8" s="333"/>
      <c r="R8" s="229"/>
      <c r="S8" s="332" t="s">
        <v>120</v>
      </c>
      <c r="T8" s="333"/>
    </row>
    <row r="9" spans="1:20" s="231" customFormat="1" ht="11" customHeight="1">
      <c r="A9" s="180" t="s">
        <v>110</v>
      </c>
      <c r="B9" s="181" t="s">
        <v>111</v>
      </c>
      <c r="C9" s="334" t="s">
        <v>109</v>
      </c>
      <c r="D9" s="335"/>
      <c r="E9" s="181"/>
      <c r="F9" s="182">
        <f>F8</f>
        <v>35.027954165060613</v>
      </c>
      <c r="G9" s="182">
        <f>C85/1000</f>
        <v>0</v>
      </c>
      <c r="H9" s="183"/>
      <c r="I9" s="228" t="s">
        <v>119</v>
      </c>
      <c r="J9" s="228" t="s">
        <v>40</v>
      </c>
      <c r="K9" s="228" t="s">
        <v>62</v>
      </c>
      <c r="L9" s="228" t="s">
        <v>63</v>
      </c>
      <c r="M9" s="228"/>
      <c r="N9" s="228" t="s">
        <v>62</v>
      </c>
      <c r="O9" s="228" t="s">
        <v>63</v>
      </c>
      <c r="P9" s="228" t="s">
        <v>62</v>
      </c>
      <c r="Q9" s="228" t="s">
        <v>63</v>
      </c>
      <c r="R9" s="228"/>
      <c r="S9" s="228" t="s">
        <v>62</v>
      </c>
      <c r="T9" s="228" t="s">
        <v>63</v>
      </c>
    </row>
    <row r="10" spans="1:20" ht="11" customHeight="1">
      <c r="A10" s="184" t="s">
        <v>64</v>
      </c>
      <c r="B10" s="180" t="s">
        <v>0</v>
      </c>
      <c r="C10" s="182">
        <f>'Input Values'!C34</f>
        <v>0</v>
      </c>
      <c r="D10" s="185" t="s">
        <v>115</v>
      </c>
      <c r="E10" s="185"/>
      <c r="F10" s="186">
        <v>8.0940000000000005E-4</v>
      </c>
      <c r="G10" s="187">
        <f>($G$9*1000)/$F$85*F10</f>
        <v>0</v>
      </c>
      <c r="H10" s="188" t="e">
        <f>(C10/G10)-1</f>
        <v>#DIV/0!</v>
      </c>
      <c r="I10" s="189" t="e">
        <f>IF(H10&lt;0,($B$3*3.785)*(G10-C10),"Elevated")</f>
        <v>#DIV/0!</v>
      </c>
      <c r="J10" s="230" t="s">
        <v>39</v>
      </c>
    </row>
    <row r="11" spans="1:20" ht="11" customHeight="1">
      <c r="A11" s="184"/>
      <c r="B11" s="180"/>
      <c r="C11" s="182"/>
      <c r="D11" s="185"/>
      <c r="E11" s="185"/>
      <c r="F11" s="186"/>
      <c r="G11" s="187"/>
      <c r="H11" s="188"/>
      <c r="I11" s="189"/>
      <c r="J11" s="230"/>
      <c r="K11" s="190"/>
      <c r="L11" s="191"/>
      <c r="M11" s="191"/>
      <c r="N11" s="191"/>
      <c r="O11" s="191"/>
    </row>
    <row r="12" spans="1:20" ht="11" customHeight="1">
      <c r="A12" s="184" t="s">
        <v>65</v>
      </c>
      <c r="B12" s="180" t="s">
        <v>1</v>
      </c>
      <c r="C12" s="182">
        <f>'Input Values'!C35</f>
        <v>0</v>
      </c>
      <c r="D12" s="185" t="s">
        <v>115</v>
      </c>
      <c r="E12" s="185"/>
      <c r="F12" s="187">
        <v>1.7229999999999999E-3</v>
      </c>
      <c r="G12" s="187">
        <f>($G$9*1000)/$F$85*F12</f>
        <v>0</v>
      </c>
      <c r="H12" s="188" t="e">
        <f t="shared" ref="H12:H82" si="0">(C12/G12)-1</f>
        <v>#DIV/0!</v>
      </c>
      <c r="I12" s="189" t="e">
        <f>IF(H12&lt;0,($B$3*3.785)*(G12-C12),"Elevated")</f>
        <v>#DIV/0!</v>
      </c>
      <c r="J12" s="230" t="s">
        <v>39</v>
      </c>
    </row>
    <row r="13" spans="1:20" ht="11" customHeight="1">
      <c r="A13" s="184"/>
      <c r="B13" s="180"/>
      <c r="C13" s="182"/>
      <c r="D13" s="185"/>
      <c r="E13" s="185"/>
      <c r="F13" s="187"/>
      <c r="G13" s="187"/>
      <c r="H13" s="188"/>
      <c r="I13" s="192"/>
      <c r="J13" s="230"/>
      <c r="K13" s="193"/>
      <c r="L13" s="229"/>
      <c r="M13" s="229"/>
      <c r="N13" s="229"/>
      <c r="O13" s="229"/>
    </row>
    <row r="14" spans="1:20" ht="11" customHeight="1">
      <c r="A14" s="184" t="s">
        <v>66</v>
      </c>
      <c r="B14" s="180" t="s">
        <v>2</v>
      </c>
      <c r="C14" s="182">
        <f>'Input Values'!C36</f>
        <v>0</v>
      </c>
      <c r="D14" s="185" t="s">
        <v>115</v>
      </c>
      <c r="E14" s="185"/>
      <c r="F14" s="187">
        <v>4.45</v>
      </c>
      <c r="G14" s="187">
        <f>($G$9*1000)/$F$85*F14</f>
        <v>0</v>
      </c>
      <c r="H14" s="188" t="e">
        <f t="shared" si="0"/>
        <v>#DIV/0!</v>
      </c>
      <c r="I14" s="189" t="e">
        <f>IF(H14&lt;0,($B$3*3.785)*(G14-C14),"Elevated")</f>
        <v>#DIV/0!</v>
      </c>
      <c r="J14" s="230" t="s">
        <v>41</v>
      </c>
      <c r="K14" s="179">
        <f>-($B$3*3.785)*(C14-G14)/44500*1000</f>
        <v>0</v>
      </c>
      <c r="L14" s="179">
        <f>K14*20</f>
        <v>0</v>
      </c>
      <c r="M14" s="179"/>
      <c r="N14" s="179" t="e">
        <f>IF(H14&gt;0,(K14/$B$4*H14),-(K14/$B$4*H14))</f>
        <v>#DIV/0!</v>
      </c>
      <c r="O14" s="179" t="e">
        <f>N14*20</f>
        <v>#DIV/0!</v>
      </c>
    </row>
    <row r="15" spans="1:20" ht="11" customHeight="1">
      <c r="A15" s="184"/>
      <c r="B15" s="180"/>
      <c r="C15" s="182"/>
      <c r="D15" s="185"/>
      <c r="E15" s="185"/>
      <c r="F15" s="187"/>
      <c r="G15" s="187"/>
      <c r="H15" s="188"/>
      <c r="I15" s="189"/>
      <c r="J15" s="230"/>
      <c r="K15" s="179"/>
      <c r="L15" s="179"/>
      <c r="M15" s="179"/>
      <c r="N15" s="179"/>
      <c r="O15" s="179"/>
    </row>
    <row r="16" spans="1:20" ht="11" customHeight="1">
      <c r="A16" s="184" t="s">
        <v>67</v>
      </c>
      <c r="B16" s="180" t="s">
        <v>3</v>
      </c>
      <c r="C16" s="182">
        <f>'Input Values'!C37</f>
        <v>0</v>
      </c>
      <c r="D16" s="185" t="s">
        <v>115</v>
      </c>
      <c r="E16" s="185"/>
      <c r="F16" s="187">
        <v>1.3729999999999999E-2</v>
      </c>
      <c r="G16" s="187">
        <f>($G$9*1000)/$F$85*F16</f>
        <v>0</v>
      </c>
      <c r="H16" s="188" t="e">
        <f t="shared" si="0"/>
        <v>#DIV/0!</v>
      </c>
      <c r="I16" s="189" t="e">
        <f>IF(H16&lt;0,($B$3*3.785)*(G16-C16),"Elevated")</f>
        <v>#DIV/0!</v>
      </c>
      <c r="J16" s="230" t="s">
        <v>219</v>
      </c>
      <c r="K16" s="179">
        <f>-($B$3*3.785)*(C16-G16)/5000*1000</f>
        <v>0</v>
      </c>
      <c r="L16" s="179">
        <f>K16*20</f>
        <v>0</v>
      </c>
      <c r="N16" s="179" t="e">
        <f>IF(H16&gt;0,(K16/$B$4*H16),-(K16/$B$4*H16))</f>
        <v>#DIV/0!</v>
      </c>
      <c r="O16" s="179" t="e">
        <f>N16*20</f>
        <v>#DIV/0!</v>
      </c>
    </row>
    <row r="17" spans="1:20" ht="11" customHeight="1">
      <c r="A17" s="184"/>
      <c r="B17" s="180"/>
      <c r="C17" s="182"/>
      <c r="D17" s="185"/>
      <c r="E17" s="185"/>
      <c r="F17" s="187"/>
      <c r="G17" s="187"/>
      <c r="H17" s="188"/>
      <c r="I17" s="195"/>
      <c r="J17" s="230"/>
      <c r="K17" s="190"/>
      <c r="L17" s="191"/>
      <c r="M17" s="191"/>
      <c r="N17" s="196"/>
      <c r="O17" s="196"/>
    </row>
    <row r="18" spans="1:20" ht="11" customHeight="1">
      <c r="A18" s="184" t="s">
        <v>68</v>
      </c>
      <c r="B18" s="180" t="s">
        <v>4</v>
      </c>
      <c r="C18" s="182">
        <f>'Input Values'!C38</f>
        <v>0</v>
      </c>
      <c r="D18" s="185" t="s">
        <v>115</v>
      </c>
      <c r="E18" s="185"/>
      <c r="F18" s="187">
        <v>5.8579999999999996E-7</v>
      </c>
      <c r="G18" s="187">
        <f>($G$9*1000)/$F$85*F18</f>
        <v>0</v>
      </c>
      <c r="H18" s="188" t="e">
        <f t="shared" si="0"/>
        <v>#DIV/0!</v>
      </c>
      <c r="I18" s="189" t="e">
        <f>IF(H18&lt;0,($B$3*3.785)*(G18-C18),"Elevated")</f>
        <v>#DIV/0!</v>
      </c>
      <c r="J18" s="230" t="s">
        <v>39</v>
      </c>
      <c r="N18" s="194"/>
      <c r="O18" s="194"/>
    </row>
    <row r="19" spans="1:20" ht="11" customHeight="1">
      <c r="A19" s="184"/>
      <c r="B19" s="180"/>
      <c r="C19" s="182"/>
      <c r="D19" s="185"/>
      <c r="E19" s="185"/>
      <c r="F19" s="187"/>
      <c r="G19" s="187"/>
      <c r="H19" s="188"/>
      <c r="I19" s="195"/>
      <c r="J19" s="230"/>
      <c r="K19" s="190"/>
      <c r="L19" s="191"/>
      <c r="M19" s="191"/>
      <c r="N19" s="196"/>
      <c r="O19" s="196"/>
    </row>
    <row r="20" spans="1:20" ht="11" customHeight="1">
      <c r="A20" s="184" t="s">
        <v>69</v>
      </c>
      <c r="B20" s="180" t="s">
        <v>5</v>
      </c>
      <c r="C20" s="182">
        <f>'Input Values'!C39</f>
        <v>0</v>
      </c>
      <c r="D20" s="185" t="s">
        <v>115</v>
      </c>
      <c r="E20" s="185"/>
      <c r="F20" s="187">
        <v>2.09E-5</v>
      </c>
      <c r="G20" s="187">
        <f>($G$9*1000)/$F$85*F20</f>
        <v>0</v>
      </c>
      <c r="H20" s="188" t="e">
        <f t="shared" si="0"/>
        <v>#DIV/0!</v>
      </c>
      <c r="I20" s="189" t="e">
        <f>IF(H20&lt;0,($B$3*3.785)*(G20-C20),"Elevated")</f>
        <v>#DIV/0!</v>
      </c>
      <c r="J20" s="230" t="s">
        <v>39</v>
      </c>
      <c r="N20" s="194"/>
      <c r="O20" s="194"/>
    </row>
    <row r="21" spans="1:20" ht="11" customHeight="1">
      <c r="A21" s="184"/>
      <c r="B21" s="180"/>
      <c r="C21" s="182"/>
      <c r="D21" s="185"/>
      <c r="E21" s="185"/>
      <c r="F21" s="187"/>
      <c r="G21" s="187"/>
      <c r="H21" s="188"/>
      <c r="I21" s="189"/>
      <c r="J21" s="230"/>
      <c r="K21" s="193"/>
      <c r="L21" s="229"/>
      <c r="M21" s="229"/>
      <c r="N21" s="197"/>
      <c r="O21" s="197"/>
    </row>
    <row r="22" spans="1:20" ht="11" customHeight="1">
      <c r="A22" s="184" t="s">
        <v>70</v>
      </c>
      <c r="B22" s="180" t="s">
        <v>6</v>
      </c>
      <c r="C22" s="182">
        <f>'Input Values'!C40</f>
        <v>0</v>
      </c>
      <c r="D22" s="185" t="s">
        <v>115</v>
      </c>
      <c r="E22" s="185"/>
      <c r="F22" s="187">
        <v>67.12</v>
      </c>
      <c r="G22" s="187">
        <f>($G$9*1000)/$F$85*F22</f>
        <v>0</v>
      </c>
      <c r="H22" s="188" t="e">
        <f t="shared" si="0"/>
        <v>#DIV/0!</v>
      </c>
      <c r="I22" s="189" t="e">
        <f>IF(H22&lt;0,($B$3*3.785)*(G22-C22),"Elevated")</f>
        <v>#DIV/0!</v>
      </c>
      <c r="J22" s="230" t="s">
        <v>42</v>
      </c>
      <c r="K22" s="179">
        <f>-($B$3*3.785)*(C22-G22)/100000*1000</f>
        <v>0</v>
      </c>
      <c r="L22" s="179">
        <f>K22*20</f>
        <v>0</v>
      </c>
      <c r="M22" s="179"/>
      <c r="N22" s="179" t="e">
        <f>IF(H22&gt;0,(K22/$B$4*H22),-(K22/$B$4*H22))</f>
        <v>#DIV/0!</v>
      </c>
      <c r="O22" s="179" t="e">
        <f>N22*20</f>
        <v>#DIV/0!</v>
      </c>
    </row>
    <row r="23" spans="1:20" ht="11" customHeight="1">
      <c r="A23" s="184"/>
      <c r="B23" s="180"/>
      <c r="C23" s="182"/>
      <c r="D23" s="185"/>
      <c r="E23" s="185"/>
      <c r="F23" s="187"/>
      <c r="G23" s="187"/>
      <c r="H23" s="188"/>
      <c r="I23" s="189"/>
      <c r="J23" s="230"/>
      <c r="K23" s="179"/>
      <c r="L23" s="179"/>
      <c r="M23" s="179"/>
      <c r="N23" s="179"/>
      <c r="O23" s="179"/>
    </row>
    <row r="24" spans="1:20" ht="11" customHeight="1">
      <c r="A24" s="184" t="s">
        <v>71</v>
      </c>
      <c r="B24" s="180" t="s">
        <v>7</v>
      </c>
      <c r="C24" s="182">
        <f>'Input Values'!C41</f>
        <v>0</v>
      </c>
      <c r="D24" s="185" t="s">
        <v>115</v>
      </c>
      <c r="E24" s="185"/>
      <c r="F24" s="187">
        <v>412.1</v>
      </c>
      <c r="G24" s="187">
        <f>($G$9*1000)/$F$85*F24</f>
        <v>0</v>
      </c>
      <c r="H24" s="188" t="e">
        <f t="shared" si="0"/>
        <v>#DIV/0!</v>
      </c>
      <c r="I24" s="189" t="e">
        <f>IF(H24&lt;0,($B$3*3.785)*(G24-C24),"Elevated")</f>
        <v>#DIV/0!</v>
      </c>
      <c r="J24" s="230" t="s">
        <v>123</v>
      </c>
      <c r="K24" s="179">
        <f>-($B$3*3.785)*(C24-G24)/150250*1000</f>
        <v>0</v>
      </c>
      <c r="L24" s="179">
        <f>K24*20</f>
        <v>0</v>
      </c>
      <c r="M24" s="179"/>
      <c r="N24" s="179" t="e">
        <f>IF(H24&gt;0,(K24/$B$4*H24),-(K24/$B$4*H24))</f>
        <v>#DIV/0!</v>
      </c>
      <c r="O24" s="179" t="e">
        <f>N24*20</f>
        <v>#DIV/0!</v>
      </c>
    </row>
    <row r="25" spans="1:20" ht="11" customHeight="1">
      <c r="A25" s="184"/>
      <c r="B25" s="180"/>
      <c r="C25" s="182"/>
      <c r="D25" s="185"/>
      <c r="E25" s="185"/>
      <c r="F25" s="187"/>
      <c r="G25" s="187"/>
      <c r="H25" s="188"/>
      <c r="I25" s="189"/>
      <c r="J25" s="198"/>
      <c r="K25" s="179"/>
      <c r="L25" s="179"/>
      <c r="M25" s="179"/>
      <c r="N25" s="179"/>
      <c r="O25" s="179"/>
    </row>
    <row r="26" spans="1:20" ht="11" customHeight="1">
      <c r="A26" s="184" t="s">
        <v>113</v>
      </c>
      <c r="B26" s="180" t="s">
        <v>8</v>
      </c>
      <c r="C26" s="182">
        <f>'Input Values'!C42</f>
        <v>0</v>
      </c>
      <c r="D26" s="185" t="s">
        <v>115</v>
      </c>
      <c r="E26" s="185"/>
      <c r="F26" s="187">
        <v>7.8689999999999994E-5</v>
      </c>
      <c r="G26" s="187">
        <f>($G$9*1000)/$F$85*F26</f>
        <v>0</v>
      </c>
      <c r="H26" s="188" t="e">
        <f t="shared" si="0"/>
        <v>#DIV/0!</v>
      </c>
      <c r="I26" s="189" t="e">
        <f>IF(H26&lt;0,($B$3*3.785)*(G26-C26),"Elevated")</f>
        <v>#DIV/0!</v>
      </c>
      <c r="J26" s="230" t="s">
        <v>39</v>
      </c>
      <c r="N26" s="194"/>
      <c r="O26" s="194"/>
    </row>
    <row r="27" spans="1:20" ht="11" customHeight="1">
      <c r="A27" s="184"/>
      <c r="B27" s="180"/>
      <c r="C27" s="182"/>
      <c r="D27" s="185"/>
      <c r="E27" s="185"/>
      <c r="F27" s="187"/>
      <c r="G27" s="187"/>
      <c r="H27" s="188"/>
      <c r="I27" s="189"/>
      <c r="J27" s="230"/>
      <c r="K27" s="190"/>
      <c r="L27" s="191"/>
      <c r="M27" s="191"/>
      <c r="N27" s="196"/>
      <c r="O27" s="196"/>
    </row>
    <row r="28" spans="1:20" ht="11" customHeight="1">
      <c r="A28" s="184" t="s">
        <v>72</v>
      </c>
      <c r="B28" s="180" t="s">
        <v>9</v>
      </c>
      <c r="C28" s="182">
        <f>'Input Values'!C43</f>
        <v>0</v>
      </c>
      <c r="D28" s="185" t="s">
        <v>115</v>
      </c>
      <c r="E28" s="185"/>
      <c r="F28" s="187">
        <v>19352.900000000001</v>
      </c>
      <c r="G28" s="187">
        <f>($G$9*1000)/$F$85*F28</f>
        <v>0</v>
      </c>
      <c r="H28" s="188" t="e">
        <f t="shared" si="0"/>
        <v>#DIV/0!</v>
      </c>
      <c r="I28" s="189" t="e">
        <f>IF(H28&lt;0,($B$3*3.785)*(G28-C28),"Elevated")</f>
        <v>#DIV/0!</v>
      </c>
      <c r="J28" s="230" t="s">
        <v>39</v>
      </c>
      <c r="N28" s="194"/>
      <c r="O28" s="194"/>
    </row>
    <row r="29" spans="1:20" ht="11" customHeight="1">
      <c r="A29" s="184"/>
      <c r="B29" s="180"/>
      <c r="C29" s="182"/>
      <c r="D29" s="185"/>
      <c r="E29" s="185"/>
      <c r="F29" s="187"/>
      <c r="G29" s="187"/>
      <c r="H29" s="188"/>
      <c r="I29" s="189"/>
      <c r="J29" s="230"/>
      <c r="K29" s="193"/>
      <c r="L29" s="229"/>
      <c r="M29" s="229"/>
      <c r="N29" s="197"/>
      <c r="O29" s="197"/>
    </row>
    <row r="30" spans="1:20" ht="11" customHeight="1">
      <c r="A30" s="184" t="s">
        <v>73</v>
      </c>
      <c r="B30" s="180" t="s">
        <v>10</v>
      </c>
      <c r="C30" s="182">
        <f>'Input Values'!C44</f>
        <v>0</v>
      </c>
      <c r="D30" s="185" t="s">
        <v>115</v>
      </c>
      <c r="E30" s="185"/>
      <c r="F30" s="187">
        <v>1.7680000000000001E-6</v>
      </c>
      <c r="G30" s="187">
        <f>($G$9*1000)/$F$85*F30</f>
        <v>0</v>
      </c>
      <c r="H30" s="188" t="e">
        <f t="shared" si="0"/>
        <v>#DIV/0!</v>
      </c>
      <c r="I30" s="189" t="e">
        <f>IF(H30&lt;0,($B$3*3.785)*(G30-C30),"Elevated")</f>
        <v>#DIV/0!</v>
      </c>
      <c r="J30" s="230" t="s">
        <v>43</v>
      </c>
      <c r="K30" s="179">
        <f>-($B$3*3.785)*(C30-G30)/1000*1000</f>
        <v>0</v>
      </c>
      <c r="L30" s="179">
        <f>K30*20</f>
        <v>0</v>
      </c>
      <c r="M30" s="179"/>
      <c r="N30" s="179" t="e">
        <f>IF(H30&gt;0,(K30/$B$4*H30),-(K30/$B$4*H30))</f>
        <v>#DIV/0!</v>
      </c>
      <c r="O30" s="179" t="e">
        <f>N30*20</f>
        <v>#DIV/0!</v>
      </c>
      <c r="P30" s="230" t="e">
        <f>IF(H30&lt;0,($B$3*3.785)*(G30-C30)/1.7*1000,"None Required")</f>
        <v>#DIV/0!</v>
      </c>
      <c r="Q30" s="230" t="e">
        <f>IF(H30&lt;0,($B$3*3.785)*(G30-C30)/1.7*1000*20,"None Required")</f>
        <v>#DIV/0!</v>
      </c>
      <c r="S30" s="179" t="e">
        <f>IF(H30&lt;0,($B$3*3.785)*(G30-C30)/1.7*1000/'Input Values'!$C$29*1.05,($B$3*3.785)*(G30-C30)/1.7*1000/'Input Values'!$C$29*1.05)</f>
        <v>#DIV/0!</v>
      </c>
      <c r="T30" s="179" t="e">
        <f>ROUNDUP(S30/0.05,3)</f>
        <v>#DIV/0!</v>
      </c>
    </row>
    <row r="31" spans="1:20" ht="11" customHeight="1">
      <c r="A31" s="184"/>
      <c r="B31" s="180"/>
      <c r="C31" s="182"/>
      <c r="D31" s="185"/>
      <c r="E31" s="185"/>
      <c r="F31" s="187"/>
      <c r="G31" s="187"/>
      <c r="H31" s="188"/>
      <c r="I31" s="189"/>
      <c r="J31" s="230"/>
      <c r="K31" s="179"/>
      <c r="L31" s="179"/>
      <c r="M31" s="179"/>
      <c r="N31" s="179"/>
      <c r="O31" s="179"/>
      <c r="S31" s="179"/>
      <c r="T31" s="179"/>
    </row>
    <row r="32" spans="1:20" ht="11" customHeight="1">
      <c r="A32" s="184" t="s">
        <v>74</v>
      </c>
      <c r="B32" s="180" t="s">
        <v>11</v>
      </c>
      <c r="C32" s="182">
        <f>'Input Values'!C45</f>
        <v>0</v>
      </c>
      <c r="D32" s="185" t="s">
        <v>115</v>
      </c>
      <c r="E32" s="185"/>
      <c r="F32" s="187">
        <v>2.0799999999999999E-4</v>
      </c>
      <c r="G32" s="187">
        <f>($G$9*1000)/$F$85*F32</f>
        <v>0</v>
      </c>
      <c r="H32" s="188" t="e">
        <f t="shared" si="0"/>
        <v>#DIV/0!</v>
      </c>
      <c r="I32" s="189" t="e">
        <f>IF(H32&lt;0,($B$3*3.785)*(G32-C32),"Elevated")</f>
        <v>#DIV/0!</v>
      </c>
      <c r="J32" s="230" t="s">
        <v>122</v>
      </c>
      <c r="K32" s="179">
        <f>-($B$3*3.785)*(C32-G32)/1000*1000</f>
        <v>0</v>
      </c>
      <c r="L32" s="179">
        <f>K32*20</f>
        <v>0</v>
      </c>
      <c r="M32" s="179"/>
      <c r="N32" s="179" t="e">
        <f>IF(H32&gt;0,(K32/$B$4*H32),-(K32/$B$4*H32))</f>
        <v>#DIV/0!</v>
      </c>
      <c r="O32" s="179" t="e">
        <f>N32*20</f>
        <v>#DIV/0!</v>
      </c>
      <c r="S32" s="179"/>
      <c r="T32" s="179"/>
    </row>
    <row r="33" spans="1:20" ht="11" customHeight="1">
      <c r="A33" s="184"/>
      <c r="B33" s="180"/>
      <c r="C33" s="182"/>
      <c r="D33" s="185"/>
      <c r="E33" s="185"/>
      <c r="F33" s="187"/>
      <c r="G33" s="187"/>
      <c r="H33" s="188"/>
      <c r="I33" s="189"/>
      <c r="J33" s="230"/>
      <c r="K33" s="190"/>
      <c r="L33" s="191"/>
      <c r="M33" s="191"/>
      <c r="N33" s="196"/>
      <c r="O33" s="196"/>
      <c r="S33" s="179"/>
      <c r="T33" s="179"/>
    </row>
    <row r="34" spans="1:20" ht="11" customHeight="1">
      <c r="A34" s="184" t="s">
        <v>75</v>
      </c>
      <c r="B34" s="180" t="s">
        <v>12</v>
      </c>
      <c r="C34" s="182">
        <f>'Input Values'!C46</f>
        <v>0</v>
      </c>
      <c r="D34" s="185" t="s">
        <v>115</v>
      </c>
      <c r="E34" s="185"/>
      <c r="F34" s="187">
        <v>2.9240000000000001E-4</v>
      </c>
      <c r="G34" s="187">
        <f>($G$9*1000)/$F$85*F34</f>
        <v>0</v>
      </c>
      <c r="H34" s="188" t="e">
        <f t="shared" si="0"/>
        <v>#DIV/0!</v>
      </c>
      <c r="I34" s="189" t="e">
        <f>IF(H34&lt;0,($B$3*3.785)*(G34-C34),"Elevated")</f>
        <v>#DIV/0!</v>
      </c>
      <c r="J34" s="230" t="s">
        <v>39</v>
      </c>
      <c r="N34" s="194"/>
      <c r="O34" s="194"/>
      <c r="S34" s="179"/>
      <c r="T34" s="179"/>
    </row>
    <row r="35" spans="1:20" ht="11" customHeight="1">
      <c r="A35" s="184"/>
      <c r="B35" s="180"/>
      <c r="C35" s="182"/>
      <c r="D35" s="185"/>
      <c r="E35" s="185"/>
      <c r="F35" s="187"/>
      <c r="G35" s="187"/>
      <c r="H35" s="188"/>
      <c r="I35" s="189"/>
      <c r="J35" s="230"/>
      <c r="K35" s="193"/>
      <c r="L35" s="229"/>
      <c r="M35" s="229"/>
      <c r="N35" s="197"/>
      <c r="O35" s="197"/>
      <c r="S35" s="179"/>
      <c r="T35" s="179"/>
    </row>
    <row r="36" spans="1:20" ht="11" customHeight="1">
      <c r="A36" s="184" t="s">
        <v>76</v>
      </c>
      <c r="B36" s="180" t="s">
        <v>13</v>
      </c>
      <c r="C36" s="182">
        <f>'Input Values'!C47</f>
        <v>0</v>
      </c>
      <c r="D36" s="185" t="s">
        <v>115</v>
      </c>
      <c r="E36" s="185"/>
      <c r="F36" s="187">
        <v>2.542E-4</v>
      </c>
      <c r="G36" s="187">
        <f>($G$9*1000)/$F$85*F36</f>
        <v>0</v>
      </c>
      <c r="H36" s="188" t="e">
        <f t="shared" si="0"/>
        <v>#DIV/0!</v>
      </c>
      <c r="I36" s="189" t="e">
        <f>IF(H36&lt;0,($B$3*3.785)*(G36-C36),"Elevated")</f>
        <v>#DIV/0!</v>
      </c>
      <c r="J36" s="230" t="s">
        <v>44</v>
      </c>
      <c r="K36" s="179">
        <f>-($B$3*3.785)*(C36-G36)/60560*1000</f>
        <v>0</v>
      </c>
      <c r="L36" s="179">
        <f>K36*20</f>
        <v>0</v>
      </c>
      <c r="M36" s="179"/>
      <c r="N36" s="179" t="e">
        <f>IF(H36&gt;0,(K36/$B$4*H36),-(K36/$B$4*H36))</f>
        <v>#DIV/0!</v>
      </c>
      <c r="O36" s="179" t="e">
        <f>N36*20</f>
        <v>#DIV/0!</v>
      </c>
      <c r="P36" s="230" t="e">
        <f>IF(H36&lt;0,($B$3*3.785)*(G36-C36)/24.1*1000,"None Required")</f>
        <v>#DIV/0!</v>
      </c>
      <c r="Q36" s="230" t="e">
        <f>IF(H36&lt;0,($B$3*3.785)*(G36-C36)/24.1*1000*20,"None Required")</f>
        <v>#DIV/0!</v>
      </c>
      <c r="S36" s="179" t="e">
        <f>IF(H36&lt;0,($B$3*3.785)*(G36-C36)/24.1*1000/'Input Values'!$C$29*1.05,($B$3*3.785)*(G36-C36)/24.1*1000/'Input Values'!$C$29*1.05)</f>
        <v>#DIV/0!</v>
      </c>
      <c r="T36" s="179" t="e">
        <f>ROUNDUP(S36/0.05,3)</f>
        <v>#DIV/0!</v>
      </c>
    </row>
    <row r="37" spans="1:20" ht="11" customHeight="1">
      <c r="A37" s="184"/>
      <c r="B37" s="180"/>
      <c r="C37" s="182"/>
      <c r="D37" s="185"/>
      <c r="E37" s="185"/>
      <c r="F37" s="187"/>
      <c r="G37" s="187"/>
      <c r="H37" s="188"/>
      <c r="I37" s="189"/>
      <c r="J37" s="230"/>
      <c r="K37" s="179"/>
      <c r="L37" s="179"/>
      <c r="M37" s="179"/>
      <c r="N37" s="179"/>
      <c r="O37" s="179"/>
    </row>
    <row r="38" spans="1:20" ht="11" customHeight="1">
      <c r="A38" s="184" t="s">
        <v>77</v>
      </c>
      <c r="B38" s="180" t="s">
        <v>58</v>
      </c>
      <c r="C38" s="182">
        <f>'Input Values'!C48</f>
        <v>0</v>
      </c>
      <c r="D38" s="185" t="s">
        <v>115</v>
      </c>
      <c r="E38" s="185"/>
      <c r="F38" s="187">
        <v>1.292</v>
      </c>
      <c r="G38" s="187">
        <f>($G$9*1000)/$F$85*F38</f>
        <v>0</v>
      </c>
      <c r="H38" s="188" t="e">
        <f t="shared" si="0"/>
        <v>#DIV/0!</v>
      </c>
      <c r="I38" s="189" t="e">
        <f>IF(H38&lt;0,($B$3*3.785)*(G38-C38),"Elevated")</f>
        <v>#DIV/0!</v>
      </c>
      <c r="J38" s="230" t="s">
        <v>59</v>
      </c>
      <c r="K38" s="179">
        <f>-($B$3*3.785)*(C38-G38)/10000*1000</f>
        <v>0</v>
      </c>
      <c r="L38" s="179">
        <f>K38*20</f>
        <v>0</v>
      </c>
      <c r="M38" s="179"/>
      <c r="N38" s="179" t="e">
        <f>IF(H38&gt;0,(K38/$B$4*H38),-(K38/$B$4*H38))</f>
        <v>#DIV/0!</v>
      </c>
      <c r="O38" s="179" t="e">
        <f>N38*20</f>
        <v>#DIV/0!</v>
      </c>
    </row>
    <row r="39" spans="1:20" ht="11" customHeight="1">
      <c r="A39" s="184"/>
      <c r="B39" s="180"/>
      <c r="C39" s="182"/>
      <c r="D39" s="185"/>
      <c r="E39" s="185"/>
      <c r="F39" s="187"/>
      <c r="G39" s="187"/>
      <c r="H39" s="188"/>
      <c r="I39" s="189"/>
      <c r="J39" s="230"/>
      <c r="K39" s="179"/>
      <c r="L39" s="179"/>
      <c r="M39" s="179"/>
      <c r="N39" s="179"/>
      <c r="O39" s="179"/>
    </row>
    <row r="40" spans="1:20" ht="11" customHeight="1">
      <c r="A40" s="184" t="s">
        <v>78</v>
      </c>
      <c r="B40" s="180" t="s">
        <v>14</v>
      </c>
      <c r="C40" s="182">
        <f>'Input Values'!C49</f>
        <v>0</v>
      </c>
      <c r="D40" s="185" t="s">
        <v>115</v>
      </c>
      <c r="E40" s="185"/>
      <c r="F40" s="187">
        <v>5.5850000000000002E-5</v>
      </c>
      <c r="G40" s="187">
        <f>($G$9*1000)/$F$85*F40</f>
        <v>0</v>
      </c>
      <c r="H40" s="188" t="e">
        <f t="shared" si="0"/>
        <v>#DIV/0!</v>
      </c>
      <c r="I40" s="189" t="e">
        <f>IF(H40&lt;0,($B$3*3.785)*(G40-C40),"Elevated")</f>
        <v>#DIV/0!</v>
      </c>
      <c r="J40" s="230" t="s">
        <v>45</v>
      </c>
      <c r="K40" s="179">
        <f>-($B$3*3.785)*(C40-G40)/10000*1000</f>
        <v>0</v>
      </c>
      <c r="L40" s="179">
        <f>K40*20</f>
        <v>0</v>
      </c>
      <c r="M40" s="179"/>
      <c r="N40" s="179" t="e">
        <f>IF(H40&gt;0,(K40/$B$4*H40),-(K40/$B$4*H40))</f>
        <v>#DIV/0!</v>
      </c>
      <c r="O40" s="179" t="e">
        <f>N40*20</f>
        <v>#DIV/0!</v>
      </c>
      <c r="P40" s="230" t="e">
        <f>IF(H40&lt;0,($B$3*3.785)*(G40-C40)/52.9*1000,"None Required")</f>
        <v>#DIV/0!</v>
      </c>
      <c r="Q40" s="230" t="e">
        <f>IF(H40&lt;0,($B$3*3.785)*(G40-C40)/52.9*1000*20,"None Required")</f>
        <v>#DIV/0!</v>
      </c>
      <c r="S40" s="179" t="e">
        <f>IF(H40&lt;0,($B$3*3.785)*(G40-C40)/52.9*1000/'Input Values'!$C$29*1.05,($B$3*3.785)*(G40-C40)/52.9*1000/'Input Values'!$C$29*1.05)</f>
        <v>#DIV/0!</v>
      </c>
      <c r="T40" s="179" t="e">
        <f>ROUNDUP(S40/0.05,3)</f>
        <v>#DIV/0!</v>
      </c>
    </row>
    <row r="41" spans="1:20" ht="11" customHeight="1">
      <c r="A41" s="184"/>
      <c r="B41" s="180"/>
      <c r="C41" s="182"/>
      <c r="D41" s="185"/>
      <c r="E41" s="185"/>
      <c r="F41" s="187"/>
      <c r="G41" s="187"/>
      <c r="H41" s="188"/>
      <c r="I41" s="189"/>
      <c r="J41" s="230"/>
      <c r="K41" s="179"/>
      <c r="L41" s="179"/>
      <c r="M41" s="179"/>
      <c r="N41" s="179"/>
      <c r="O41" s="179"/>
    </row>
    <row r="42" spans="1:20" ht="11" customHeight="1">
      <c r="A42" s="184" t="s">
        <v>79</v>
      </c>
      <c r="B42" s="180" t="s">
        <v>15</v>
      </c>
      <c r="C42" s="182">
        <f>'Input Values'!C50</f>
        <v>0</v>
      </c>
      <c r="D42" s="185" t="s">
        <v>115</v>
      </c>
      <c r="E42" s="185"/>
      <c r="F42" s="187">
        <v>2.092E-5</v>
      </c>
      <c r="G42" s="187">
        <f>($G$9*1000)/$F$85*F42</f>
        <v>0</v>
      </c>
      <c r="H42" s="188" t="e">
        <f t="shared" si="0"/>
        <v>#DIV/0!</v>
      </c>
      <c r="I42" s="189" t="e">
        <f>IF(H42&lt;0,($B$3*3.785)*(G42-C42),"Elevated")</f>
        <v>#DIV/0!</v>
      </c>
      <c r="J42" s="230" t="s">
        <v>39</v>
      </c>
      <c r="N42" s="194"/>
      <c r="O42" s="194"/>
    </row>
    <row r="43" spans="1:20" ht="11" customHeight="1">
      <c r="A43" s="184"/>
      <c r="B43" s="180"/>
      <c r="C43" s="182"/>
      <c r="D43" s="185"/>
      <c r="E43" s="185"/>
      <c r="F43" s="187"/>
      <c r="G43" s="187"/>
      <c r="H43" s="188"/>
      <c r="I43" s="189"/>
      <c r="J43" s="230"/>
      <c r="K43" s="193"/>
      <c r="L43" s="229"/>
      <c r="M43" s="229"/>
      <c r="N43" s="197"/>
      <c r="O43" s="197"/>
    </row>
    <row r="44" spans="1:20" ht="11" customHeight="1">
      <c r="A44" s="184" t="s">
        <v>80</v>
      </c>
      <c r="B44" s="180" t="s">
        <v>16</v>
      </c>
      <c r="C44" s="182">
        <f>'Input Values'!C51</f>
        <v>0</v>
      </c>
      <c r="D44" s="185" t="s">
        <v>115</v>
      </c>
      <c r="E44" s="185"/>
      <c r="F44" s="187">
        <v>5.5840000000000001E-2</v>
      </c>
      <c r="G44" s="187">
        <f>($G$9*1000)/$F$85*F44</f>
        <v>0</v>
      </c>
      <c r="H44" s="188" t="e">
        <f t="shared" si="0"/>
        <v>#DIV/0!</v>
      </c>
      <c r="I44" s="189" t="e">
        <f>IF(H44&lt;0,($B$3*3.785)*(G44-C44),"Elevated")</f>
        <v>#DIV/0!</v>
      </c>
      <c r="J44" s="230" t="s">
        <v>46</v>
      </c>
      <c r="K44" s="179">
        <f>-($B$3*3.785)*(C44-G44)/100000*1000</f>
        <v>0</v>
      </c>
      <c r="L44" s="179">
        <f>K44*20</f>
        <v>0</v>
      </c>
      <c r="M44" s="179"/>
      <c r="N44" s="179" t="e">
        <f>IF(H44&gt;0,(K44/$B$4*H44),-(K44/$B$4*H44))</f>
        <v>#DIV/0!</v>
      </c>
      <c r="O44" s="179" t="e">
        <f>N44*20</f>
        <v>#DIV/0!</v>
      </c>
      <c r="P44" s="230" t="e">
        <f>IF(H44&lt;0,($B$3*3.785)*(G44-C44)/52840*1000,"None Required")</f>
        <v>#DIV/0!</v>
      </c>
      <c r="Q44" s="230" t="e">
        <f>IF(H44&lt;0,($B$3*3.785)*(G44-C44)/52840*1000*20,"None Required")</f>
        <v>#DIV/0!</v>
      </c>
      <c r="S44" s="179" t="e">
        <f>IF(H44&lt;0,($B$3*3.785)*(G44-C44)/52840*1000/'Input Values'!$C$29*1.05,($B$3*3.785)*(G44-C44)/52840*1000/'Input Values'!$C$29*1.05)</f>
        <v>#DIV/0!</v>
      </c>
      <c r="T44" s="179" t="e">
        <f>ROUNDUP(S44/0.05,3)</f>
        <v>#DIV/0!</v>
      </c>
    </row>
    <row r="45" spans="1:20" ht="11" customHeight="1">
      <c r="A45" s="184"/>
      <c r="B45" s="180"/>
      <c r="C45" s="182"/>
      <c r="D45" s="185"/>
      <c r="E45" s="185"/>
      <c r="F45" s="187"/>
      <c r="G45" s="187"/>
      <c r="H45" s="188"/>
      <c r="I45" s="189"/>
      <c r="J45" s="230"/>
      <c r="K45" s="179"/>
      <c r="L45" s="179"/>
      <c r="M45" s="179"/>
      <c r="N45" s="179"/>
      <c r="O45" s="179"/>
    </row>
    <row r="46" spans="1:20" ht="11" customHeight="1">
      <c r="A46" s="184" t="s">
        <v>81</v>
      </c>
      <c r="B46" s="180" t="s">
        <v>17</v>
      </c>
      <c r="C46" s="182">
        <f>'Input Values'!C52</f>
        <v>0</v>
      </c>
      <c r="D46" s="185" t="s">
        <v>115</v>
      </c>
      <c r="E46" s="185"/>
      <c r="F46" s="187">
        <v>1.148E-7</v>
      </c>
      <c r="G46" s="187">
        <f>($G$9*1000)/$F$85*F46</f>
        <v>0</v>
      </c>
      <c r="H46" s="188" t="e">
        <f t="shared" si="0"/>
        <v>#DIV/0!</v>
      </c>
      <c r="I46" s="189" t="e">
        <f>IF(H46&lt;0,($B$3*3.785)*(G46-C46),"Elevated")</f>
        <v>#DIV/0!</v>
      </c>
      <c r="J46" s="230" t="s">
        <v>39</v>
      </c>
      <c r="N46" s="194"/>
      <c r="O46" s="194"/>
    </row>
    <row r="47" spans="1:20" ht="11" customHeight="1">
      <c r="A47" s="184"/>
      <c r="B47" s="180"/>
      <c r="C47" s="182"/>
      <c r="D47" s="185"/>
      <c r="E47" s="185"/>
      <c r="F47" s="187"/>
      <c r="G47" s="187"/>
      <c r="H47" s="188"/>
      <c r="I47" s="189"/>
      <c r="J47" s="230"/>
      <c r="K47" s="193"/>
      <c r="L47" s="229"/>
      <c r="M47" s="229"/>
      <c r="N47" s="197"/>
      <c r="O47" s="197"/>
    </row>
    <row r="48" spans="1:20" ht="11" customHeight="1">
      <c r="A48" s="184" t="s">
        <v>82</v>
      </c>
      <c r="B48" s="180" t="s">
        <v>18</v>
      </c>
      <c r="C48" s="182">
        <f>'Input Values'!C53</f>
        <v>0</v>
      </c>
      <c r="D48" s="185" t="s">
        <v>115</v>
      </c>
      <c r="E48" s="185"/>
      <c r="F48" s="187">
        <v>399.1</v>
      </c>
      <c r="G48" s="187">
        <f>($G$9*1000)/$F$85*F48</f>
        <v>0</v>
      </c>
      <c r="H48" s="188" t="e">
        <f t="shared" si="0"/>
        <v>#DIV/0!</v>
      </c>
      <c r="I48" s="189" t="e">
        <f>IF(H48&lt;0,($B$3*3.785)*(G48-C48),"Elevated")</f>
        <v>#DIV/0!</v>
      </c>
      <c r="J48" s="230" t="s">
        <v>47</v>
      </c>
      <c r="K48" s="179">
        <f>-($B$3*3.785)*(C48-G48)/100000*1000</f>
        <v>0</v>
      </c>
      <c r="L48" s="179">
        <f>K48*20</f>
        <v>0</v>
      </c>
      <c r="M48" s="179"/>
      <c r="N48" s="179" t="e">
        <f>IF(H48&gt;0,(K48/$B$4*H48),-(K48/$B$4*H48))</f>
        <v>#DIV/0!</v>
      </c>
      <c r="O48" s="179" t="e">
        <f>N48*20</f>
        <v>#DIV/0!</v>
      </c>
    </row>
    <row r="49" spans="1:20" ht="11" customHeight="1">
      <c r="A49" s="184"/>
      <c r="B49" s="180"/>
      <c r="C49" s="182"/>
      <c r="D49" s="185"/>
      <c r="E49" s="185"/>
      <c r="F49" s="187"/>
      <c r="G49" s="187"/>
      <c r="H49" s="188"/>
      <c r="I49" s="189"/>
      <c r="J49" s="230"/>
      <c r="K49" s="179"/>
      <c r="L49" s="179"/>
      <c r="M49" s="179"/>
      <c r="N49" s="179"/>
      <c r="O49" s="179"/>
    </row>
    <row r="50" spans="1:20" ht="11" customHeight="1">
      <c r="A50" s="184" t="s">
        <v>83</v>
      </c>
      <c r="B50" s="180" t="s">
        <v>19</v>
      </c>
      <c r="C50" s="182">
        <f>'Input Values'!C54</f>
        <v>0</v>
      </c>
      <c r="D50" s="185" t="s">
        <v>115</v>
      </c>
      <c r="E50" s="185"/>
      <c r="F50" s="187">
        <v>0.17349999999999999</v>
      </c>
      <c r="G50" s="187">
        <f>($G$9*1000)/$F$85*F50</f>
        <v>0</v>
      </c>
      <c r="H50" s="188" t="e">
        <f t="shared" si="0"/>
        <v>#DIV/0!</v>
      </c>
      <c r="I50" s="189" t="e">
        <f>IF(H50&lt;0,($B$3*3.785)*(G50-C50),"Elevated")</f>
        <v>#DIV/0!</v>
      </c>
      <c r="J50" s="230" t="s">
        <v>39</v>
      </c>
      <c r="N50" s="194"/>
      <c r="O50" s="194"/>
    </row>
    <row r="51" spans="1:20" ht="11" customHeight="1">
      <c r="A51" s="184"/>
      <c r="B51" s="180"/>
      <c r="C51" s="182"/>
      <c r="D51" s="185"/>
      <c r="E51" s="185"/>
      <c r="F51" s="187"/>
      <c r="G51" s="187"/>
      <c r="H51" s="188"/>
      <c r="I51" s="189"/>
      <c r="J51" s="230"/>
      <c r="K51" s="193"/>
      <c r="L51" s="229"/>
      <c r="M51" s="229"/>
      <c r="N51" s="197"/>
      <c r="O51" s="197"/>
    </row>
    <row r="52" spans="1:20" ht="11" customHeight="1">
      <c r="A52" s="184" t="s">
        <v>84</v>
      </c>
      <c r="B52" s="180" t="s">
        <v>20</v>
      </c>
      <c r="C52" s="182">
        <f>'Input Values'!C55</f>
        <v>0</v>
      </c>
      <c r="D52" s="185" t="s">
        <v>115</v>
      </c>
      <c r="E52" s="185"/>
      <c r="F52" s="187">
        <v>1283.7</v>
      </c>
      <c r="G52" s="187">
        <f>($G$9*1000)/$F$85*F52</f>
        <v>0</v>
      </c>
      <c r="H52" s="188" t="e">
        <f t="shared" si="0"/>
        <v>#DIV/0!</v>
      </c>
      <c r="I52" s="189" t="e">
        <f>IF(H52&lt;0,($B$3*3.785)*(G52-C52),"Elevated")</f>
        <v>#DIV/0!</v>
      </c>
      <c r="J52" s="230" t="s">
        <v>48</v>
      </c>
      <c r="K52" s="179">
        <f>-($B$3*3.785)*(C52-G52)/100000*1000</f>
        <v>0</v>
      </c>
      <c r="L52" s="179">
        <f>K52*20</f>
        <v>0</v>
      </c>
      <c r="M52" s="179"/>
      <c r="N52" s="179" t="e">
        <f>IF(H52&gt;0,(K52/$B$4*H52),-(K52/$B$4*H52))</f>
        <v>#DIV/0!</v>
      </c>
      <c r="O52" s="179" t="e">
        <f>N52*20</f>
        <v>#DIV/0!</v>
      </c>
    </row>
    <row r="53" spans="1:20" ht="11" customHeight="1">
      <c r="A53" s="184"/>
      <c r="B53" s="180"/>
      <c r="C53" s="182"/>
      <c r="D53" s="185"/>
      <c r="E53" s="185"/>
      <c r="F53" s="187"/>
      <c r="G53" s="187"/>
      <c r="H53" s="188"/>
      <c r="I53" s="189"/>
      <c r="J53" s="230"/>
      <c r="K53" s="179"/>
      <c r="L53" s="179"/>
      <c r="M53" s="179"/>
      <c r="N53" s="179"/>
      <c r="O53" s="179"/>
    </row>
    <row r="54" spans="1:20" ht="11" customHeight="1">
      <c r="A54" s="184" t="s">
        <v>85</v>
      </c>
      <c r="B54" s="180" t="s">
        <v>21</v>
      </c>
      <c r="C54" s="182">
        <f>'Input Values'!C56</f>
        <v>0</v>
      </c>
      <c r="D54" s="185" t="s">
        <v>115</v>
      </c>
      <c r="E54" s="185"/>
      <c r="F54" s="187">
        <v>2.7470000000000001E-4</v>
      </c>
      <c r="G54" s="187">
        <f>($G$9*1000)/$F$85*F54</f>
        <v>0</v>
      </c>
      <c r="H54" s="188" t="e">
        <f t="shared" si="0"/>
        <v>#DIV/0!</v>
      </c>
      <c r="I54" s="189" t="e">
        <f>IF(H54&lt;0,($B$3*3.785)*(G54-C54),"Elevated")</f>
        <v>#DIV/0!</v>
      </c>
      <c r="J54" s="230" t="s">
        <v>49</v>
      </c>
      <c r="K54" s="179">
        <f>-($B$3*3.785)*(C54-G54)/1000*1000</f>
        <v>0</v>
      </c>
      <c r="L54" s="179">
        <f>K54*20</f>
        <v>0</v>
      </c>
      <c r="M54" s="179"/>
      <c r="N54" s="179" t="e">
        <f>IF(H54&gt;0,(K54/$B$4*H54),-(K54/$B$4*H54))</f>
        <v>#DIV/0!</v>
      </c>
      <c r="O54" s="179" t="e">
        <f>N54*20</f>
        <v>#DIV/0!</v>
      </c>
      <c r="P54" s="230" t="e">
        <f>IF(H54&lt;0,($B$3*3.785)*(G54-C54)/259.9*1000,"None Required")</f>
        <v>#DIV/0!</v>
      </c>
      <c r="Q54" s="230" t="e">
        <f>IF(H54&lt;0,($B$3*3.785)*(G54-C54)/259.9*1000*20,"None Required")</f>
        <v>#DIV/0!</v>
      </c>
      <c r="S54" s="179" t="e">
        <f>IF(H54&lt;0,($B$3*3.785)*(G54-C54)/259.9*1000/'Input Values'!$C$29*1.05,($B$3*3.785)*(G54-C54)/259.9*1000/'Input Values'!$C$29*1.05)</f>
        <v>#DIV/0!</v>
      </c>
      <c r="T54" s="179" t="e">
        <f>ROUNDUP(S54/0.05,3)</f>
        <v>#DIV/0!</v>
      </c>
    </row>
    <row r="55" spans="1:20" ht="11" customHeight="1">
      <c r="A55" s="184"/>
      <c r="B55" s="180"/>
      <c r="C55" s="182"/>
      <c r="D55" s="185"/>
      <c r="E55" s="185"/>
      <c r="F55" s="187"/>
      <c r="G55" s="187"/>
      <c r="H55" s="188"/>
      <c r="I55" s="189"/>
      <c r="J55" s="230"/>
      <c r="K55" s="179"/>
      <c r="L55" s="179"/>
      <c r="M55" s="179"/>
      <c r="N55" s="179"/>
      <c r="O55" s="179"/>
    </row>
    <row r="56" spans="1:20" ht="11" customHeight="1">
      <c r="A56" s="184" t="s">
        <v>86</v>
      </c>
      <c r="B56" s="180" t="s">
        <v>22</v>
      </c>
      <c r="C56" s="182">
        <f>'Input Values'!C57</f>
        <v>0</v>
      </c>
      <c r="D56" s="185" t="s">
        <v>115</v>
      </c>
      <c r="E56" s="185"/>
      <c r="F56" s="187">
        <v>1.055E-2</v>
      </c>
      <c r="G56" s="187">
        <f>($G$9*1000)/$F$85*F56</f>
        <v>0</v>
      </c>
      <c r="H56" s="188" t="e">
        <f t="shared" si="0"/>
        <v>#DIV/0!</v>
      </c>
      <c r="I56" s="189" t="e">
        <f>IF(H56&lt;0,($B$3*3.785)*(G56-C56),"Elevated")</f>
        <v>#DIV/0!</v>
      </c>
      <c r="J56" s="230" t="s">
        <v>50</v>
      </c>
      <c r="K56" s="179">
        <f>-($B$3*3.785)*(C56-G56)/10000*1000</f>
        <v>0</v>
      </c>
      <c r="L56" s="179">
        <f>K56*20</f>
        <v>0</v>
      </c>
      <c r="M56" s="179"/>
      <c r="N56" s="179" t="e">
        <f>IF(H56&gt;0,(K56/$B$4*H56),-(K56/$B$4*H56))</f>
        <v>#DIV/0!</v>
      </c>
      <c r="O56" s="179" t="e">
        <f>N56*20</f>
        <v>#DIV/0!</v>
      </c>
      <c r="P56" s="230" t="e">
        <f>IF(H56&lt;0,($B$3*3.785)*(G56-C56)/998.3*1000,"None Required")</f>
        <v>#DIV/0!</v>
      </c>
      <c r="Q56" s="230" t="e">
        <f>IF(H56&lt;0,($B$3*3.785)*(G56-C56)/998.3*1000*20,"None Required")</f>
        <v>#DIV/0!</v>
      </c>
      <c r="S56" s="179" t="e">
        <f>IF(H56&lt;0,($B$3*3.785)*(G56-C56)/998.3*1000/'Input Values'!$C$29*1.05,($B$3*3.785)*(G56-C56)/998.3*1000/'Input Values'!$C$29*1.05)</f>
        <v>#DIV/0!</v>
      </c>
      <c r="T56" s="179" t="e">
        <f>ROUNDUP(S56/0.05,3)</f>
        <v>#DIV/0!</v>
      </c>
    </row>
    <row r="57" spans="1:20" ht="11" customHeight="1">
      <c r="A57" s="184"/>
      <c r="B57" s="180"/>
      <c r="C57" s="182"/>
      <c r="D57" s="185"/>
      <c r="E57" s="185"/>
      <c r="F57" s="187"/>
      <c r="G57" s="187"/>
      <c r="H57" s="188"/>
      <c r="I57" s="189"/>
      <c r="J57" s="230"/>
      <c r="K57" s="179"/>
      <c r="L57" s="179"/>
      <c r="M57" s="179"/>
      <c r="N57" s="179"/>
      <c r="O57" s="179"/>
    </row>
    <row r="58" spans="1:20" ht="11" customHeight="1">
      <c r="A58" s="184" t="s">
        <v>87</v>
      </c>
      <c r="B58" s="180" t="s">
        <v>23</v>
      </c>
      <c r="C58" s="182">
        <f>'Input Values'!C58</f>
        <v>0</v>
      </c>
      <c r="D58" s="185" t="s">
        <v>115</v>
      </c>
      <c r="E58" s="185"/>
      <c r="F58" s="187">
        <v>10783.8</v>
      </c>
      <c r="G58" s="187">
        <f>($G$9*1000)/$F$85*F58</f>
        <v>0</v>
      </c>
      <c r="H58" s="188" t="e">
        <f t="shared" si="0"/>
        <v>#DIV/0!</v>
      </c>
      <c r="I58" s="189" t="e">
        <f>IF(H58&lt;0,($B$3*3.785)*(G58-C58),"Elevated")</f>
        <v>#DIV/0!</v>
      </c>
      <c r="J58" s="230" t="s">
        <v>39</v>
      </c>
      <c r="N58" s="194"/>
      <c r="O58" s="194"/>
    </row>
    <row r="59" spans="1:20" ht="11" customHeight="1">
      <c r="A59" s="184"/>
      <c r="B59" s="180"/>
      <c r="C59" s="182"/>
      <c r="D59" s="185"/>
      <c r="E59" s="185"/>
      <c r="F59" s="187"/>
      <c r="G59" s="187"/>
      <c r="H59" s="188"/>
      <c r="I59" s="189"/>
      <c r="J59" s="230"/>
      <c r="K59" s="193"/>
      <c r="L59" s="229"/>
      <c r="M59" s="229"/>
      <c r="N59" s="197"/>
      <c r="O59" s="197"/>
    </row>
    <row r="60" spans="1:20" ht="11" customHeight="1">
      <c r="A60" s="184" t="s">
        <v>88</v>
      </c>
      <c r="B60" s="180" t="s">
        <v>24</v>
      </c>
      <c r="C60" s="182">
        <f>'Input Values'!C59</f>
        <v>0</v>
      </c>
      <c r="D60" s="185" t="s">
        <v>115</v>
      </c>
      <c r="E60" s="185"/>
      <c r="F60" s="187">
        <v>4.6949999999999997E-4</v>
      </c>
      <c r="G60" s="187">
        <f>($G$9*1000)/$F$85*F60</f>
        <v>0</v>
      </c>
      <c r="H60" s="188" t="e">
        <f t="shared" si="0"/>
        <v>#DIV/0!</v>
      </c>
      <c r="I60" s="189" t="e">
        <f>IF(H60&lt;0,($B$3*3.785)*(G60-C60),"Elevated")</f>
        <v>#DIV/0!</v>
      </c>
      <c r="J60" s="230" t="s">
        <v>51</v>
      </c>
      <c r="K60" s="179">
        <f>-($B$3*3.785)*(C60-G60)/1000*1000</f>
        <v>0</v>
      </c>
      <c r="L60" s="179">
        <f>K60*20</f>
        <v>0</v>
      </c>
      <c r="M60" s="179"/>
      <c r="N60" s="179" t="e">
        <f>IF(H60&gt;0,(K60/$B$4*H60),-(K60/$B$4*H60))</f>
        <v>#DIV/0!</v>
      </c>
      <c r="O60" s="179" t="e">
        <f>N60*20</f>
        <v>#DIV/0!</v>
      </c>
      <c r="P60" s="230" t="e">
        <f>IF(H60&lt;0,($B$3*3.785)*(G60-C60)/444.3*1000,"None Required")</f>
        <v>#DIV/0!</v>
      </c>
      <c r="Q60" s="230" t="e">
        <f>IF(H60&lt;0,($B$3*3.785)*(G60-C60)/444.3*1000*20,"None Required")</f>
        <v>#DIV/0!</v>
      </c>
      <c r="S60" s="179" t="e">
        <f>IF(H60&lt;0,($B$3*3.785)*(G60-C60)/444.3*1000/'Input Values'!$C$29*1.05,($B$3*3.785)*(G60-C60)/444.3*1000/'Input Values'!$C$29*1.05)</f>
        <v>#DIV/0!</v>
      </c>
      <c r="T60" s="179" t="e">
        <f>ROUNDUP(S60/0.05,3)</f>
        <v>#DIV/0!</v>
      </c>
    </row>
    <row r="61" spans="1:20" ht="11" customHeight="1">
      <c r="A61" s="184"/>
      <c r="B61" s="180"/>
      <c r="C61" s="182"/>
      <c r="D61" s="185"/>
      <c r="E61" s="185"/>
      <c r="F61" s="187"/>
      <c r="G61" s="187"/>
      <c r="H61" s="188"/>
      <c r="I61" s="189"/>
      <c r="J61" s="230"/>
      <c r="K61" s="179"/>
      <c r="L61" s="179"/>
      <c r="M61" s="179"/>
      <c r="N61" s="179"/>
      <c r="O61" s="179"/>
    </row>
    <row r="62" spans="1:20" ht="11" customHeight="1">
      <c r="A62" s="184" t="s">
        <v>89</v>
      </c>
      <c r="B62" s="180" t="s">
        <v>25</v>
      </c>
      <c r="C62" s="182">
        <f>'Input Values'!C60</f>
        <v>0</v>
      </c>
      <c r="D62" s="185" t="s">
        <v>115</v>
      </c>
      <c r="E62" s="185"/>
      <c r="F62" s="187">
        <v>2.0719999999999998E-6</v>
      </c>
      <c r="G62" s="187">
        <f>($G$9*1000)/$F$85*F62</f>
        <v>0</v>
      </c>
      <c r="H62" s="188" t="e">
        <f t="shared" si="0"/>
        <v>#DIV/0!</v>
      </c>
      <c r="I62" s="189" t="e">
        <f>IF(H62&lt;0,($B$3*3.785)*(G62-C62),"Elevated")</f>
        <v>#DIV/0!</v>
      </c>
      <c r="J62" s="230" t="s">
        <v>39</v>
      </c>
      <c r="N62" s="194"/>
      <c r="O62" s="194"/>
    </row>
    <row r="63" spans="1:20" ht="11" customHeight="1">
      <c r="A63" s="184"/>
      <c r="B63" s="180"/>
      <c r="C63" s="182"/>
      <c r="D63" s="185"/>
      <c r="E63" s="185"/>
      <c r="F63" s="187"/>
      <c r="G63" s="187"/>
      <c r="H63" s="188"/>
      <c r="I63" s="189"/>
      <c r="J63" s="230"/>
      <c r="K63" s="193"/>
      <c r="L63" s="229"/>
      <c r="M63" s="229"/>
      <c r="N63" s="197"/>
      <c r="O63" s="197"/>
    </row>
    <row r="64" spans="1:20" ht="11" customHeight="1">
      <c r="A64" s="184" t="s">
        <v>90</v>
      </c>
      <c r="B64" s="180" t="s">
        <v>26</v>
      </c>
      <c r="C64" s="182">
        <f>'Input Values'!C61</f>
        <v>0</v>
      </c>
      <c r="D64" s="185" t="s">
        <v>115</v>
      </c>
      <c r="E64" s="185"/>
      <c r="F64" s="187">
        <v>0.1197</v>
      </c>
      <c r="G64" s="187">
        <f>($G$9*1000)/$F$85*F64</f>
        <v>0</v>
      </c>
      <c r="H64" s="188" t="e">
        <f t="shared" si="0"/>
        <v>#DIV/0!</v>
      </c>
      <c r="I64" s="189" t="e">
        <f>IF(H64&lt;0,($B$3*3.785)*(G64-C64),"Elevated")</f>
        <v>#DIV/0!</v>
      </c>
      <c r="J64" s="230" t="s">
        <v>52</v>
      </c>
      <c r="K64" s="179">
        <f>-($B$3*3.785)*(C64-G64)/10000*1000</f>
        <v>0</v>
      </c>
      <c r="L64" s="179">
        <f>K64*20</f>
        <v>0</v>
      </c>
      <c r="M64" s="179"/>
      <c r="N64" s="179" t="e">
        <f>IF(H64&gt;0,(K64/$B$4*H64),-(K64/$B$4*H64))</f>
        <v>#DIV/0!</v>
      </c>
      <c r="O64" s="179" t="e">
        <f>N64*20</f>
        <v>#DIV/0!</v>
      </c>
    </row>
    <row r="65" spans="1:20" ht="11" customHeight="1">
      <c r="A65" s="184"/>
      <c r="B65" s="180"/>
      <c r="C65" s="182"/>
      <c r="D65" s="185"/>
      <c r="E65" s="185"/>
      <c r="F65" s="187"/>
      <c r="G65" s="187"/>
      <c r="H65" s="188"/>
      <c r="I65" s="189"/>
      <c r="J65" s="230"/>
      <c r="K65" s="179"/>
      <c r="L65" s="179"/>
      <c r="M65" s="179"/>
      <c r="N65" s="179"/>
      <c r="O65" s="179"/>
    </row>
    <row r="66" spans="1:20" ht="11" customHeight="1">
      <c r="A66" s="184" t="s">
        <v>91</v>
      </c>
      <c r="B66" s="180" t="s">
        <v>27</v>
      </c>
      <c r="C66" s="182">
        <f>'Input Values'!C62</f>
        <v>0</v>
      </c>
      <c r="D66" s="185" t="s">
        <v>115</v>
      </c>
      <c r="E66" s="185"/>
      <c r="F66" s="187">
        <v>905.37947099999997</v>
      </c>
      <c r="G66" s="187">
        <f>($G$9*1000)/$F$85*F66</f>
        <v>0</v>
      </c>
      <c r="H66" s="188" t="e">
        <f t="shared" si="0"/>
        <v>#DIV/0!</v>
      </c>
      <c r="I66" s="189" t="e">
        <f>IF(H66&lt;0,($B$3*3.785)*(G66-C66),"Elevated")</f>
        <v>#DIV/0!</v>
      </c>
      <c r="J66" s="230" t="s">
        <v>39</v>
      </c>
      <c r="N66" s="194"/>
      <c r="O66" s="194"/>
    </row>
    <row r="67" spans="1:20" ht="11" customHeight="1">
      <c r="A67" s="184"/>
      <c r="B67" s="180"/>
      <c r="C67" s="182"/>
      <c r="D67" s="185"/>
      <c r="E67" s="185"/>
      <c r="F67" s="187"/>
      <c r="G67" s="187"/>
      <c r="H67" s="188"/>
      <c r="I67" s="195"/>
      <c r="J67" s="230"/>
      <c r="K67" s="193"/>
      <c r="L67" s="193"/>
      <c r="M67" s="193"/>
      <c r="N67" s="193"/>
      <c r="O67" s="193"/>
    </row>
    <row r="68" spans="1:20" ht="11" customHeight="1">
      <c r="A68" s="184" t="s">
        <v>92</v>
      </c>
      <c r="B68" s="180" t="s">
        <v>28</v>
      </c>
      <c r="C68" s="182">
        <f>'Input Values'!C63</f>
        <v>0</v>
      </c>
      <c r="D68" s="185" t="s">
        <v>115</v>
      </c>
      <c r="E68" s="185"/>
      <c r="F68" s="187">
        <v>1.3420000000000001E-4</v>
      </c>
      <c r="G68" s="187">
        <f>($G$9*1000)/$F$85*F68</f>
        <v>0</v>
      </c>
      <c r="H68" s="188" t="e">
        <f t="shared" si="0"/>
        <v>#DIV/0!</v>
      </c>
      <c r="I68" s="189" t="e">
        <f>IF(H68&lt;0,($B$3*3.785)*(G68-C68),"Elevated")</f>
        <v>#DIV/0!</v>
      </c>
      <c r="J68" s="230" t="s">
        <v>53</v>
      </c>
      <c r="K68" s="179">
        <f>-($B$3*3.785)*(C68-G68)/250*1000</f>
        <v>0</v>
      </c>
      <c r="L68" s="179">
        <f>K68*20</f>
        <v>0</v>
      </c>
      <c r="M68" s="179"/>
      <c r="N68" s="179" t="e">
        <f>IF(H68&gt;0,(K68/$B$4*H68),-(K68/$B$4*H68))</f>
        <v>#DIV/0!</v>
      </c>
      <c r="O68" s="179" t="e">
        <f>N68*20</f>
        <v>#DIV/0!</v>
      </c>
      <c r="P68" s="230" t="e">
        <f>IF(H68&lt;0,($B$3*3.785)*(G68-C68)/12.7*1000,"None Required")</f>
        <v>#DIV/0!</v>
      </c>
      <c r="Q68" s="230" t="e">
        <f>IF(H68&lt;0,($B$3*3.785)*(G68-C68)/12.7*1000*20,"None Required")</f>
        <v>#DIV/0!</v>
      </c>
      <c r="S68" s="179" t="e">
        <f>IF(H68&lt;0,($B$3*3.785)*(G68-C68)/12.7*1000/'Input Values'!$C$29*1.05,($B$3*3.785)*(G68-C68)/12.7*1000/'Input Values'!$C$29*1.05)</f>
        <v>#DIV/0!</v>
      </c>
      <c r="T68" s="179" t="e">
        <f>ROUNDUP(S68/0.05,3)</f>
        <v>#DIV/0!</v>
      </c>
    </row>
    <row r="69" spans="1:20" ht="11" customHeight="1">
      <c r="A69" s="184"/>
      <c r="B69" s="180"/>
      <c r="C69" s="182"/>
      <c r="D69" s="185"/>
      <c r="E69" s="185"/>
      <c r="F69" s="187"/>
      <c r="G69" s="187"/>
      <c r="H69" s="188"/>
      <c r="I69" s="195"/>
      <c r="J69" s="230"/>
      <c r="K69" s="179"/>
      <c r="L69" s="179"/>
      <c r="M69" s="179"/>
      <c r="N69" s="179"/>
      <c r="O69" s="179"/>
    </row>
    <row r="70" spans="1:20" ht="11" customHeight="1">
      <c r="A70" s="184" t="s">
        <v>93</v>
      </c>
      <c r="B70" s="180" t="s">
        <v>29</v>
      </c>
      <c r="C70" s="182">
        <f>'Input Values'!C64</f>
        <v>0</v>
      </c>
      <c r="D70" s="185" t="s">
        <v>115</v>
      </c>
      <c r="E70" s="185"/>
      <c r="F70" s="187">
        <v>2.8090000000000002</v>
      </c>
      <c r="G70" s="187">
        <f>($G$9*1000)/$F$85*F70</f>
        <v>0</v>
      </c>
      <c r="H70" s="188" t="e">
        <f t="shared" si="0"/>
        <v>#DIV/0!</v>
      </c>
      <c r="I70" s="189" t="e">
        <f>IF(H70&lt;0,($B$3*3.785)*(G70-C70),"Elevated")</f>
        <v>#DIV/0!</v>
      </c>
      <c r="J70" s="230" t="s">
        <v>54</v>
      </c>
      <c r="K70" s="179">
        <f>-($B$3*3.785)*(C70-G70)/10000*1000</f>
        <v>0</v>
      </c>
      <c r="L70" s="179">
        <f>K70*20</f>
        <v>0</v>
      </c>
      <c r="M70" s="179"/>
      <c r="N70" s="179" t="e">
        <f>IF(H70&gt;0,(K70/$B$4*H70),-(K70/$B$4*H70))</f>
        <v>#DIV/0!</v>
      </c>
      <c r="O70" s="179" t="e">
        <f>N70*20</f>
        <v>#DIV/0!</v>
      </c>
    </row>
    <row r="71" spans="1:20" ht="11" customHeight="1">
      <c r="A71" s="184"/>
      <c r="B71" s="180"/>
      <c r="C71" s="182"/>
      <c r="D71" s="185"/>
      <c r="E71" s="185"/>
      <c r="F71" s="187"/>
      <c r="G71" s="187"/>
      <c r="H71" s="188"/>
      <c r="I71" s="195"/>
      <c r="J71" s="230"/>
      <c r="K71" s="179"/>
      <c r="L71" s="179"/>
      <c r="M71" s="179"/>
      <c r="N71" s="179"/>
      <c r="O71" s="179"/>
    </row>
    <row r="72" spans="1:20" ht="11" customHeight="1">
      <c r="A72" s="184" t="s">
        <v>94</v>
      </c>
      <c r="B72" s="180" t="s">
        <v>30</v>
      </c>
      <c r="C72" s="182">
        <f>'Input Values'!C65</f>
        <v>0</v>
      </c>
      <c r="D72" s="185" t="s">
        <v>115</v>
      </c>
      <c r="E72" s="185"/>
      <c r="F72" s="187">
        <v>7.9</v>
      </c>
      <c r="G72" s="187">
        <f>($G$9*1000)/$F$85*F72</f>
        <v>0</v>
      </c>
      <c r="H72" s="188" t="e">
        <f t="shared" si="0"/>
        <v>#DIV/0!</v>
      </c>
      <c r="I72" s="189" t="e">
        <f>IF(H72&lt;0,($B$3*3.785)*(G72-C72),"Elevated")</f>
        <v>#DIV/0!</v>
      </c>
      <c r="J72" s="230" t="s">
        <v>55</v>
      </c>
      <c r="K72" s="179">
        <f>-($B$3*3.785)*(C72-G72)/100000*1000</f>
        <v>0</v>
      </c>
      <c r="L72" s="179">
        <f>K72*20</f>
        <v>0</v>
      </c>
      <c r="M72" s="179"/>
      <c r="N72" s="179" t="e">
        <f>IF(H72&gt;0,(K72/$B$4*H72),-(K72/$B$4*H72))</f>
        <v>#DIV/0!</v>
      </c>
      <c r="O72" s="179" t="e">
        <f>N72*20</f>
        <v>#DIV/0!</v>
      </c>
    </row>
    <row r="73" spans="1:20" ht="11" customHeight="1">
      <c r="A73" s="184"/>
      <c r="B73" s="180"/>
      <c r="C73" s="182"/>
      <c r="D73" s="185"/>
      <c r="E73" s="185"/>
      <c r="F73" s="187"/>
      <c r="G73" s="187"/>
      <c r="H73" s="188"/>
      <c r="I73" s="195"/>
      <c r="J73" s="230"/>
      <c r="K73" s="179"/>
      <c r="L73" s="179"/>
      <c r="M73" s="179"/>
      <c r="N73" s="179"/>
      <c r="O73" s="179"/>
    </row>
    <row r="74" spans="1:20" ht="11" customHeight="1">
      <c r="A74" s="184" t="s">
        <v>95</v>
      </c>
      <c r="B74" s="180" t="s">
        <v>34</v>
      </c>
      <c r="C74" s="182">
        <f>'Input Values'!C66</f>
        <v>0</v>
      </c>
      <c r="D74" s="185" t="s">
        <v>115</v>
      </c>
      <c r="E74" s="185"/>
      <c r="F74" s="187">
        <v>1.226E-5</v>
      </c>
      <c r="G74" s="187">
        <f>($G$9*1000)/$F$85*F74</f>
        <v>0</v>
      </c>
      <c r="H74" s="188" t="e">
        <f t="shared" si="0"/>
        <v>#DIV/0!</v>
      </c>
      <c r="I74" s="189" t="e">
        <f>IF(H74&lt;0,($B$3*3.785)*(G74-C74),"Elevated")</f>
        <v>#DIV/0!</v>
      </c>
      <c r="J74" s="230" t="s">
        <v>39</v>
      </c>
      <c r="N74" s="194"/>
      <c r="O74" s="194"/>
    </row>
    <row r="75" spans="1:20" ht="11" customHeight="1">
      <c r="A75" s="184"/>
      <c r="B75" s="180"/>
      <c r="C75" s="182"/>
      <c r="D75" s="185"/>
      <c r="E75" s="185"/>
      <c r="F75" s="187"/>
      <c r="G75" s="187"/>
      <c r="H75" s="188"/>
      <c r="I75" s="195"/>
      <c r="J75" s="230"/>
      <c r="K75" s="193"/>
      <c r="L75" s="229"/>
      <c r="M75" s="229"/>
      <c r="N75" s="197"/>
      <c r="O75" s="197"/>
    </row>
    <row r="76" spans="1:20" ht="11" customHeight="1">
      <c r="A76" s="184" t="s">
        <v>96</v>
      </c>
      <c r="B76" s="180" t="s">
        <v>31</v>
      </c>
      <c r="C76" s="182">
        <f>'Input Values'!C67</f>
        <v>0</v>
      </c>
      <c r="D76" s="185" t="s">
        <v>115</v>
      </c>
      <c r="E76" s="185"/>
      <c r="F76" s="187">
        <v>3.094E-3</v>
      </c>
      <c r="G76" s="187">
        <f>($G$9*1000)/$F$85*F76</f>
        <v>0</v>
      </c>
      <c r="H76" s="188" t="e">
        <f t="shared" si="0"/>
        <v>#DIV/0!</v>
      </c>
      <c r="I76" s="189" t="e">
        <f>IF(H76&lt;0,($B$3*3.785)*(G76-C76),"Elevated")</f>
        <v>#DIV/0!</v>
      </c>
      <c r="J76" s="230" t="s">
        <v>39</v>
      </c>
      <c r="N76" s="194"/>
      <c r="O76" s="194"/>
    </row>
    <row r="77" spans="1:20" ht="11" customHeight="1">
      <c r="A77" s="184"/>
      <c r="B77" s="180"/>
      <c r="C77" s="182"/>
      <c r="D77" s="185"/>
      <c r="E77" s="185"/>
      <c r="F77" s="187"/>
      <c r="G77" s="187"/>
      <c r="H77" s="188"/>
      <c r="I77" s="189"/>
      <c r="J77" s="230"/>
      <c r="K77" s="193"/>
      <c r="L77" s="229"/>
      <c r="M77" s="229"/>
      <c r="N77" s="197"/>
      <c r="O77" s="197"/>
    </row>
    <row r="78" spans="1:20" ht="11" customHeight="1">
      <c r="A78" s="184" t="s">
        <v>97</v>
      </c>
      <c r="B78" s="180" t="s">
        <v>32</v>
      </c>
      <c r="C78" s="182">
        <f>'Input Values'!C68</f>
        <v>0</v>
      </c>
      <c r="D78" s="185" t="s">
        <v>115</v>
      </c>
      <c r="E78" s="185"/>
      <c r="F78" s="187">
        <v>2E-3</v>
      </c>
      <c r="G78" s="187">
        <f>($G$9*1000)/$F$85*F78</f>
        <v>0</v>
      </c>
      <c r="H78" s="188" t="e">
        <f t="shared" si="0"/>
        <v>#DIV/0!</v>
      </c>
      <c r="I78" s="189" t="e">
        <f>IF(H78&lt;0,($B$3*3.785)*(G78-C78),"Elevated")</f>
        <v>#DIV/0!</v>
      </c>
      <c r="J78" s="230" t="s">
        <v>56</v>
      </c>
      <c r="K78" s="179">
        <f>-($B$3*3.785)*(C78-G78)/1000*1000</f>
        <v>0</v>
      </c>
      <c r="L78" s="179">
        <f>K78*20</f>
        <v>0</v>
      </c>
      <c r="M78" s="179"/>
      <c r="N78" s="179" t="e">
        <f>IF(H78&gt;0,(K78/$B$4*H78),-(K78/$B$4*H78))</f>
        <v>#DIV/0!</v>
      </c>
      <c r="O78" s="179" t="e">
        <f>N78*20</f>
        <v>#DIV/0!</v>
      </c>
      <c r="P78" s="230" t="e">
        <f>IF(H78&lt;0,($B$3*3.785)*(G78-C78)/110.4*1000,"None Required")</f>
        <v>#DIV/0!</v>
      </c>
      <c r="Q78" s="230" t="e">
        <f>IF(H78&lt;0,($B$3*3.785)*(G78-C78)/110.4*1000*20,"None Required")</f>
        <v>#DIV/0!</v>
      </c>
      <c r="S78" s="179" t="e">
        <f>IF(H78&lt;0,($B$3*3.785)*(G78-C78)/110.4*1000/'Input Values'!$C$29*1.05,($B$3*3.785)*(G78-C78)/110.4*1000/'Input Values'!$C$29*1.05)</f>
        <v>#DIV/0!</v>
      </c>
      <c r="T78" s="179" t="e">
        <f>ROUNDUP(S78/0.05,3)</f>
        <v>#DIV/0!</v>
      </c>
    </row>
    <row r="79" spans="1:20" ht="11" customHeight="1">
      <c r="A79" s="184"/>
      <c r="B79" s="180"/>
      <c r="C79" s="182"/>
      <c r="D79" s="185"/>
      <c r="E79" s="185"/>
      <c r="F79" s="187"/>
      <c r="G79" s="187"/>
      <c r="H79" s="188"/>
      <c r="I79" s="189"/>
      <c r="J79" s="230"/>
      <c r="K79" s="179"/>
      <c r="L79" s="179"/>
      <c r="M79" s="179"/>
      <c r="N79" s="179"/>
      <c r="O79" s="179"/>
    </row>
    <row r="80" spans="1:20" ht="11" customHeight="1">
      <c r="A80" s="184" t="s">
        <v>98</v>
      </c>
      <c r="B80" s="180" t="s">
        <v>33</v>
      </c>
      <c r="C80" s="182">
        <f>'Input Values'!C69</f>
        <v>0</v>
      </c>
      <c r="D80" s="185" t="s">
        <v>115</v>
      </c>
      <c r="E80" s="185"/>
      <c r="F80" s="187">
        <v>3.925E-4</v>
      </c>
      <c r="G80" s="187">
        <f>($G$9*1000)/$F$85*F80</f>
        <v>0</v>
      </c>
      <c r="H80" s="188" t="e">
        <f t="shared" si="0"/>
        <v>#DIV/0!</v>
      </c>
      <c r="I80" s="189" t="e">
        <f>IF(H80&lt;0,($B$3*3.785)*(G80-C80),"Elevated")</f>
        <v>#DIV/0!</v>
      </c>
      <c r="J80" s="230" t="s">
        <v>57</v>
      </c>
      <c r="K80" s="179">
        <f>-($B$3*3.785)*(C80-G80)/1000*1000</f>
        <v>0</v>
      </c>
      <c r="L80" s="179">
        <f>K80*20</f>
        <v>0</v>
      </c>
      <c r="M80" s="179"/>
      <c r="N80" s="179" t="e">
        <f>IF(H80&gt;0,(K80/$B$4*H80),-(K80/$B$4*H80))</f>
        <v>#DIV/0!</v>
      </c>
      <c r="O80" s="179" t="e">
        <f>N80*20</f>
        <v>#DIV/0!</v>
      </c>
      <c r="P80" s="230" t="e">
        <f>IF(H80&lt;0,($B$3*3.785)*(G80-C80)/371.4*1000,"None Required")</f>
        <v>#DIV/0!</v>
      </c>
      <c r="Q80" s="230" t="e">
        <f>IF(H80&lt;0,($B$3*3.785)*(G80-C80)/371.4*1000*20,"None Required")</f>
        <v>#DIV/0!</v>
      </c>
      <c r="S80" s="179" t="e">
        <f>IF(H80&lt;0,($B$3*3.785)*(G80-C80)/371.4*1000/'Input Values'!$C$29*1.05,($B$3*3.785)*(G80-C80)/371.4*1000/'Input Values'!$C$29*1.05)</f>
        <v>#DIV/0!</v>
      </c>
      <c r="T80" s="179" t="e">
        <f>ROUNDUP(S80/0.05,3)</f>
        <v>#DIV/0!</v>
      </c>
    </row>
    <row r="81" spans="1:15" ht="11" customHeight="1">
      <c r="A81" s="184"/>
      <c r="B81" s="180"/>
      <c r="C81" s="182"/>
      <c r="D81" s="185"/>
      <c r="E81" s="185"/>
      <c r="F81" s="187"/>
      <c r="G81" s="187"/>
      <c r="H81" s="188"/>
      <c r="I81" s="189"/>
      <c r="J81" s="230"/>
      <c r="K81" s="179"/>
      <c r="L81" s="179"/>
      <c r="M81" s="179"/>
      <c r="N81" s="199"/>
      <c r="O81" s="199"/>
    </row>
    <row r="82" spans="1:15" ht="11" customHeight="1">
      <c r="A82" s="198" t="s">
        <v>106</v>
      </c>
      <c r="B82" s="230"/>
      <c r="C82" s="195">
        <f>C66*((32.065+(4*15.9994))/32.065)</f>
        <v>0</v>
      </c>
      <c r="D82" s="185" t="s">
        <v>115</v>
      </c>
      <c r="E82" s="189"/>
      <c r="F82" s="200">
        <v>2712.4</v>
      </c>
      <c r="G82" s="187">
        <f>G66*((32.065+(4*15.9994))/32.065)</f>
        <v>0</v>
      </c>
      <c r="H82" s="188" t="e">
        <f t="shared" si="0"/>
        <v>#DIV/0!</v>
      </c>
      <c r="I82" s="201" t="e">
        <f>I24</f>
        <v>#DIV/0!</v>
      </c>
    </row>
    <row r="83" spans="1:15" ht="11" customHeight="1">
      <c r="A83" s="198"/>
      <c r="B83" s="230"/>
      <c r="C83" s="195"/>
      <c r="D83" s="185"/>
      <c r="E83" s="189"/>
      <c r="F83" s="200"/>
      <c r="G83" s="187"/>
      <c r="H83" s="188"/>
      <c r="I83" s="201"/>
    </row>
    <row r="84" spans="1:15" ht="11" customHeight="1">
      <c r="A84" s="198"/>
      <c r="B84" s="230"/>
      <c r="C84" s="195"/>
      <c r="D84" s="185"/>
      <c r="E84" s="189"/>
      <c r="F84" s="200"/>
      <c r="G84" s="187"/>
      <c r="H84" s="188"/>
      <c r="I84" s="201"/>
      <c r="K84" s="202"/>
      <c r="L84" s="202"/>
      <c r="M84" s="202"/>
      <c r="N84" s="202"/>
      <c r="O84" s="202"/>
    </row>
    <row r="85" spans="1:15" ht="11" customHeight="1">
      <c r="A85" s="198" t="s">
        <v>107</v>
      </c>
      <c r="B85" s="230"/>
      <c r="C85" s="195">
        <f>('Input Values'!C31/0.056)+SUM(C10:C82)-C66</f>
        <v>0</v>
      </c>
      <c r="D85" s="189" t="s">
        <v>115</v>
      </c>
      <c r="E85" s="189"/>
      <c r="F85" s="182">
        <f>('Input Values'!C31/0.056)+SUM(F10:F82)-F66</f>
        <v>35027.954165060612</v>
      </c>
      <c r="G85" s="182">
        <f>('Input Values'!C31/0.056)+SUM(G10:G82)-G66</f>
        <v>0</v>
      </c>
      <c r="H85" s="188"/>
    </row>
    <row r="86" spans="1:15" ht="11" customHeight="1">
      <c r="A86" s="198"/>
      <c r="B86" s="230"/>
      <c r="C86" s="195"/>
      <c r="D86" s="189"/>
      <c r="E86" s="189"/>
      <c r="F86" s="182"/>
      <c r="G86" s="187"/>
      <c r="H86" s="188"/>
    </row>
    <row r="87" spans="1:15" ht="11" customHeight="1">
      <c r="A87" s="198" t="s">
        <v>108</v>
      </c>
      <c r="B87" s="198"/>
      <c r="C87" s="195"/>
      <c r="D87" s="189"/>
      <c r="E87" s="189"/>
      <c r="F87" s="182"/>
      <c r="G87" s="187"/>
      <c r="H87" s="188"/>
    </row>
    <row r="88" spans="1:15" ht="11" customHeight="1">
      <c r="A88" s="198"/>
      <c r="B88" s="198"/>
      <c r="C88" s="195"/>
      <c r="D88" s="189"/>
      <c r="E88" s="189"/>
      <c r="F88" s="182"/>
      <c r="G88" s="187"/>
      <c r="H88" s="188"/>
    </row>
    <row r="89" spans="1:15" ht="11" customHeight="1">
      <c r="A89" s="231" t="s">
        <v>116</v>
      </c>
    </row>
    <row r="90" spans="1:15" ht="11" customHeight="1"/>
    <row r="91" spans="1:15" ht="11" customHeight="1">
      <c r="A91" s="231" t="s">
        <v>112</v>
      </c>
    </row>
    <row r="92" spans="1:15" ht="11" customHeight="1"/>
    <row r="93" spans="1:15" ht="11" customHeight="1">
      <c r="A93" s="231" t="s">
        <v>211</v>
      </c>
    </row>
  </sheetData>
  <sheetProtection password="F283" sheet="1" objects="1" scenarios="1" selectLockedCells="1" selectUnlockedCells="1"/>
  <mergeCells count="8">
    <mergeCell ref="P8:Q8"/>
    <mergeCell ref="S8:T8"/>
    <mergeCell ref="P7:T7"/>
    <mergeCell ref="C9:D9"/>
    <mergeCell ref="F6:H6"/>
    <mergeCell ref="K8:L8"/>
    <mergeCell ref="N8:O8"/>
    <mergeCell ref="N2:Q6"/>
  </mergeCells>
  <phoneticPr fontId="4" type="noConversion"/>
  <pageMargins left="0.75" right="0.75" top="1" bottom="1" header="0.5" footer="0.5"/>
  <pageSetup scale="62" orientation="portrait" horizontalDpi="4294967292" verticalDpi="4294967292"/>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Input Values</vt:lpstr>
      <vt:lpstr>Analysis</vt:lpstr>
      <vt:lpstr>Automated Dosing</vt:lpstr>
      <vt:lpstr>Manual Dosing</vt:lpstr>
      <vt:lpstr>Admin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 Wood</dc:creator>
  <cp:keywords/>
  <dc:description/>
  <cp:lastModifiedBy>Marine Biogeochemist</cp:lastModifiedBy>
  <cp:lastPrinted>2022-03-17T18:20:23Z</cp:lastPrinted>
  <dcterms:created xsi:type="dcterms:W3CDTF">2021-09-04T21:38:30Z</dcterms:created>
  <dcterms:modified xsi:type="dcterms:W3CDTF">2023-06-21T14:09:46Z</dcterms:modified>
  <cp:category/>
</cp:coreProperties>
</file>